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0" windowWidth="1845" windowHeight="11640" tabRatio="737" activeTab="0"/>
  </bookViews>
  <sheets>
    <sheet name="Copropriété" sheetId="1" r:id="rId1"/>
    <sheet name="Prévisionnel" sheetId="2" r:id="rId2"/>
    <sheet name="Livre de compte" sheetId="3" r:id="rId3"/>
    <sheet name="Comptes Lots" sheetId="4" r:id="rId4"/>
    <sheet name="Appels de Fonds" sheetId="5" r:id="rId5"/>
    <sheet name="Relevés de Compte" sheetId="6" r:id="rId6"/>
    <sheet name="Attestation Fin Exercice" sheetId="7" r:id="rId7"/>
    <sheet name="Annexes Comptable" sheetId="8" r:id="rId8"/>
    <sheet name="Feuille de Calcule" sheetId="9" r:id="rId9"/>
    <sheet name="Délibération" sheetId="10" r:id="rId10"/>
    <sheet name="Charges Spéciales" sheetId="11" r:id="rId11"/>
    <sheet name="Notice" sheetId="12" r:id="rId12"/>
  </sheets>
  <definedNames>
    <definedName name="Comptable">'Feuille de Calcule'!$L$4:$L$24</definedName>
    <definedName name="Fonds">'Feuille de Calcule'!$S$21:$S$26</definedName>
    <definedName name="Lot_n_3">'Livre de compte'!$D$8</definedName>
    <definedName name="Lots">'Feuille de Calcule'!$S$11:$S$18</definedName>
    <definedName name="Présent">'Feuille de Calcule'!$V$23:$V$24</definedName>
    <definedName name="Propriétaires">'Feuille de Calcule'!$V$28:$V$29</definedName>
    <definedName name="Tantièmes">'Feuille de Calcule'!$V$4:$V$5</definedName>
    <definedName name="TypeCharge">'Feuille de Calcule'!$V$10:$V$11</definedName>
    <definedName name="Ventillation">'Feuille de Calcule'!$S$4:$S$18</definedName>
    <definedName name="Vote">'Feuille de Calcule'!$V$16:$V$18</definedName>
  </definedNames>
  <calcPr fullCalcOnLoad="1"/>
</workbook>
</file>

<file path=xl/comments1.xml><?xml version="1.0" encoding="utf-8"?>
<comments xmlns="http://schemas.openxmlformats.org/spreadsheetml/2006/main">
  <authors>
    <author>Auneau Nicolas</author>
  </authors>
  <commentList>
    <comment ref="C53" authorId="0">
      <text>
        <r>
          <rPr>
            <b/>
            <sz val="9"/>
            <rFont val="Arial"/>
            <family val="2"/>
          </rPr>
          <t>Coordonnée de l'ancien propriétaire</t>
        </r>
      </text>
    </comment>
    <comment ref="C62" authorId="0">
      <text>
        <r>
          <rPr>
            <b/>
            <sz val="9"/>
            <rFont val="Arial"/>
            <family val="2"/>
          </rPr>
          <t>Coordonnée du nouveau propriétaire. En fin d'exercice penser à effectuer la mutation définitive</t>
        </r>
      </text>
    </comment>
    <comment ref="A62" authorId="0">
      <text>
        <r>
          <rPr>
            <b/>
            <sz val="9"/>
            <rFont val="Arial"/>
            <family val="2"/>
          </rPr>
          <t>Lot Temporaire jusqu'à la fin de l'exercice</t>
        </r>
      </text>
    </comment>
    <comment ref="A53" authorId="0">
      <text>
        <r>
          <rPr>
            <b/>
            <sz val="9"/>
            <rFont val="Arial"/>
            <family val="2"/>
          </rPr>
          <t>Description du lot</t>
        </r>
      </text>
    </comment>
    <comment ref="C5" authorId="0">
      <text>
        <r>
          <rPr>
            <b/>
            <sz val="9"/>
            <rFont val="Arial"/>
            <family val="2"/>
          </rPr>
          <t>Remplir es information pour chaque copropriétaire</t>
        </r>
      </text>
    </comment>
    <comment ref="C109" authorId="0">
      <text>
        <r>
          <rPr>
            <b/>
            <sz val="9"/>
            <rFont val="Arial"/>
            <family val="2"/>
          </rPr>
          <t>Date du conseil</t>
        </r>
      </text>
    </comment>
    <comment ref="C77" authorId="0">
      <text>
        <r>
          <rPr>
            <b/>
            <sz val="9"/>
            <rFont val="Arial"/>
            <family val="2"/>
          </rPr>
          <t>Date d'établissement de la liste</t>
        </r>
      </text>
    </comment>
    <comment ref="C46" authorId="0">
      <text>
        <r>
          <rPr>
            <b/>
            <sz val="9"/>
            <rFont val="Arial"/>
            <family val="2"/>
          </rPr>
          <t>Remplir selon les éléments récus, dates sous la forme JJ/MM</t>
        </r>
      </text>
    </comment>
    <comment ref="A2" authorId="0">
      <text>
        <r>
          <rPr>
            <b/>
            <sz val="9"/>
            <rFont val="Arial"/>
            <family val="2"/>
          </rPr>
          <t>Année de l'exercice</t>
        </r>
      </text>
    </comment>
    <comment ref="J4" authorId="0">
      <text>
        <r>
          <rPr>
            <b/>
            <sz val="9"/>
            <rFont val="Arial"/>
            <family val="2"/>
          </rPr>
          <t>Possibilité de ventiller le compte provision pour travaux avec un autre mode de répartition que les charges générales</t>
        </r>
      </text>
    </comment>
    <comment ref="D5" authorId="0">
      <text>
        <r>
          <rPr>
            <b/>
            <sz val="9"/>
            <rFont val="Arial"/>
            <family val="2"/>
          </rPr>
          <t>Choix du mode de répartition</t>
        </r>
      </text>
    </comment>
    <comment ref="C49" authorId="0">
      <text>
        <r>
          <rPr>
            <b/>
            <sz val="9"/>
            <rFont val="Arial"/>
            <family val="2"/>
          </rPr>
          <t>Remplir selon les éléments récus, dates sous la forme JJ/MM</t>
        </r>
      </text>
    </comment>
    <comment ref="B2" authorId="0">
      <text>
        <r>
          <rPr>
            <b/>
            <sz val="9"/>
            <rFont val="Arial"/>
            <family val="2"/>
          </rPr>
          <t>Année de l'exercice sous la forme AAAA</t>
        </r>
      </text>
    </comment>
    <comment ref="I4" authorId="0">
      <text>
        <r>
          <rPr>
            <b/>
            <sz val="9"/>
            <rFont val="Arial"/>
            <family val="2"/>
          </rPr>
          <t>Possibilité de ventiller le compte travaux avec un autre mode de répartition que les charges générales</t>
        </r>
      </text>
    </comment>
  </commentList>
</comments>
</file>

<file path=xl/comments2.xml><?xml version="1.0" encoding="utf-8"?>
<comments xmlns="http://schemas.openxmlformats.org/spreadsheetml/2006/main">
  <authors>
    <author>Auneau Nicolas</author>
  </authors>
  <commentList>
    <comment ref="K8" authorId="0">
      <text>
        <r>
          <rPr>
            <b/>
            <sz val="9"/>
            <rFont val="Arial"/>
            <family val="2"/>
          </rPr>
          <t>Choisir dans le menu déroulant le compte du plan comptable pour répartition des charges et produits prévisionnel de l'exercice</t>
        </r>
      </text>
    </comment>
    <comment ref="K44" authorId="0">
      <text>
        <r>
          <rPr>
            <b/>
            <sz val="9"/>
            <rFont val="Arial"/>
            <family val="2"/>
          </rPr>
          <t>Choisir dans le menu déroulant le compte du plan comptable pour répartition des charges et produits prévisionnel de l'exercice</t>
        </r>
      </text>
    </comment>
  </commentList>
</comments>
</file>

<file path=xl/comments3.xml><?xml version="1.0" encoding="utf-8"?>
<comments xmlns="http://schemas.openxmlformats.org/spreadsheetml/2006/main">
  <authors>
    <author>Auneau Nicolas</author>
    <author>argocd</author>
  </authors>
  <commentList>
    <comment ref="F17" authorId="0">
      <text>
        <r>
          <rPr>
            <b/>
            <sz val="9"/>
            <rFont val="Arial"/>
            <family val="2"/>
          </rPr>
          <t>Inscrire le montant pour rapprochement bancaire, le solde banque doit être = à la case à gauche</t>
        </r>
      </text>
    </comment>
    <comment ref="F5" authorId="0">
      <text>
        <r>
          <rPr>
            <b/>
            <sz val="9"/>
            <rFont val="Arial"/>
            <family val="2"/>
          </rPr>
          <t>Solde Compte bancaire Fin du précedent exercice</t>
        </r>
      </text>
    </comment>
    <comment ref="G5" authorId="0">
      <text>
        <r>
          <rPr>
            <b/>
            <sz val="9"/>
            <rFont val="Arial"/>
            <family val="2"/>
          </rPr>
          <t>Trésorerie Fin du précédent exercice à compléter sur la feuille Comptes Lots</t>
        </r>
      </text>
    </comment>
    <comment ref="H5" authorId="0">
      <text>
        <r>
          <rPr>
            <b/>
            <sz val="9"/>
            <rFont val="Arial"/>
            <family val="2"/>
          </rPr>
          <t>Réserve Fin du précédent exercice à compléter sur la feuille Comptes Lots</t>
        </r>
      </text>
    </comment>
    <comment ref="A7" authorId="0">
      <text>
        <r>
          <rPr>
            <b/>
            <sz val="9"/>
            <rFont val="Arial"/>
            <family val="2"/>
          </rPr>
          <t>Entrée la date sous la forme JJ/MM</t>
        </r>
      </text>
    </comment>
    <comment ref="C7" authorId="0">
      <text>
        <r>
          <rPr>
            <b/>
            <sz val="9"/>
            <rFont val="Arial"/>
            <family val="2"/>
          </rPr>
          <t>Rentrée le montant dépences (ex: -45€) ou recettes (ex: 45€)</t>
        </r>
      </text>
    </comment>
    <comment ref="D7" authorId="0">
      <text>
        <r>
          <rPr>
            <b/>
            <sz val="9"/>
            <rFont val="Arial"/>
            <family val="2"/>
          </rPr>
          <t>Choisir dans le menu déroulant la rubrique ou le Lot</t>
        </r>
      </text>
    </comment>
    <comment ref="F7" authorId="0">
      <text>
        <r>
          <rPr>
            <b/>
            <sz val="9"/>
            <rFont val="Arial"/>
            <family val="2"/>
          </rPr>
          <t>Validation des rapprochement</t>
        </r>
      </text>
    </comment>
    <comment ref="A20" authorId="0">
      <text>
        <r>
          <rPr>
            <b/>
            <sz val="9"/>
            <rFont val="Arial"/>
            <family val="2"/>
          </rPr>
          <t>Entrée la date sous la forme JJ/MM</t>
        </r>
      </text>
    </comment>
    <comment ref="C20" authorId="0">
      <text>
        <r>
          <rPr>
            <b/>
            <sz val="9"/>
            <rFont val="Arial"/>
            <family val="2"/>
          </rPr>
          <t>Rentrée le montant dépences (ex: -45€) ou recettes (ex: 45€)</t>
        </r>
      </text>
    </comment>
    <comment ref="D20" authorId="0">
      <text>
        <r>
          <rPr>
            <b/>
            <sz val="9"/>
            <rFont val="Arial"/>
            <family val="2"/>
          </rPr>
          <t>Choisir dans le menu déroulant la rubrique ou le Lot</t>
        </r>
      </text>
    </comment>
    <comment ref="F20" authorId="0">
      <text>
        <r>
          <rPr>
            <b/>
            <sz val="9"/>
            <rFont val="Arial"/>
            <family val="2"/>
          </rPr>
          <t>Validation des rapprochement</t>
        </r>
      </text>
    </comment>
    <comment ref="F30" authorId="0">
      <text>
        <r>
          <rPr>
            <b/>
            <sz val="9"/>
            <rFont val="Arial"/>
            <family val="2"/>
          </rPr>
          <t>Inscrire le montant pour rapprochement bancaire, le solde banque doit être = à la case à gauche</t>
        </r>
      </text>
    </comment>
    <comment ref="A33" authorId="0">
      <text>
        <r>
          <rPr>
            <b/>
            <sz val="9"/>
            <rFont val="Arial"/>
            <family val="2"/>
          </rPr>
          <t>Entrée la date sous la forme JJ/MM</t>
        </r>
      </text>
    </comment>
    <comment ref="C33" authorId="0">
      <text>
        <r>
          <rPr>
            <b/>
            <sz val="9"/>
            <rFont val="Arial"/>
            <family val="2"/>
          </rPr>
          <t>Rentrée le montant dépences (ex: -45€) ou recettes (ex: 45€)</t>
        </r>
      </text>
    </comment>
    <comment ref="D33" authorId="0">
      <text>
        <r>
          <rPr>
            <b/>
            <sz val="9"/>
            <rFont val="Arial"/>
            <family val="2"/>
          </rPr>
          <t>Choisir dans le menu déroulant la rubrique ou le Lot</t>
        </r>
      </text>
    </comment>
    <comment ref="F33" authorId="0">
      <text>
        <r>
          <rPr>
            <b/>
            <sz val="9"/>
            <rFont val="Arial"/>
            <family val="2"/>
          </rPr>
          <t>Validation des rapprochement</t>
        </r>
      </text>
    </comment>
    <comment ref="F43" authorId="0">
      <text>
        <r>
          <rPr>
            <b/>
            <sz val="9"/>
            <rFont val="Arial"/>
            <family val="2"/>
          </rPr>
          <t>Inscrire le montant pour rapprochement bancaire, le solde banque doit être = à la case à gauche</t>
        </r>
      </text>
    </comment>
    <comment ref="A50" authorId="0">
      <text>
        <r>
          <rPr>
            <b/>
            <sz val="9"/>
            <rFont val="Arial"/>
            <family val="2"/>
          </rPr>
          <t>Entrée la date sous la forme JJ/MM</t>
        </r>
      </text>
    </comment>
    <comment ref="C50" authorId="0">
      <text>
        <r>
          <rPr>
            <b/>
            <sz val="9"/>
            <rFont val="Arial"/>
            <family val="2"/>
          </rPr>
          <t>Rentrée le montant dépences (ex: -45€) ou recettes (ex: 45€)</t>
        </r>
      </text>
    </comment>
    <comment ref="D50" authorId="0">
      <text>
        <r>
          <rPr>
            <b/>
            <sz val="9"/>
            <rFont val="Arial"/>
            <family val="2"/>
          </rPr>
          <t>Choisir dans le menu déroulant la rubrique ou le Lot</t>
        </r>
      </text>
    </comment>
    <comment ref="F50" authorId="0">
      <text>
        <r>
          <rPr>
            <b/>
            <sz val="9"/>
            <rFont val="Arial"/>
            <family val="2"/>
          </rPr>
          <t>Validation des rapprochement</t>
        </r>
      </text>
    </comment>
    <comment ref="F60" authorId="0">
      <text>
        <r>
          <rPr>
            <b/>
            <sz val="9"/>
            <rFont val="Arial"/>
            <family val="2"/>
          </rPr>
          <t>Inscrire le montant pour rapprochement bancaire, le solde banque doit être = à la case à gauche</t>
        </r>
      </text>
    </comment>
    <comment ref="C63" authorId="0">
      <text>
        <r>
          <rPr>
            <b/>
            <sz val="9"/>
            <rFont val="Arial"/>
            <family val="2"/>
          </rPr>
          <t>Rentrée le montant dépences (ex: -45€) ou recettes (ex: 45€)</t>
        </r>
      </text>
    </comment>
    <comment ref="D63" authorId="0">
      <text>
        <r>
          <rPr>
            <b/>
            <sz val="9"/>
            <rFont val="Arial"/>
            <family val="2"/>
          </rPr>
          <t>Choisir dans le menu déroulant la rubrique ou le Lot</t>
        </r>
      </text>
    </comment>
    <comment ref="F63" authorId="0">
      <text>
        <r>
          <rPr>
            <b/>
            <sz val="9"/>
            <rFont val="Arial"/>
            <family val="2"/>
          </rPr>
          <t>Validation des rapprochement</t>
        </r>
      </text>
    </comment>
    <comment ref="F73" authorId="0">
      <text>
        <r>
          <rPr>
            <b/>
            <sz val="9"/>
            <rFont val="Arial"/>
            <family val="2"/>
          </rPr>
          <t>Inscrire le montant pour rapprochement bancaire, le solde banque doit être = à la case à gauche</t>
        </r>
      </text>
    </comment>
    <comment ref="C76" authorId="0">
      <text>
        <r>
          <rPr>
            <b/>
            <sz val="9"/>
            <rFont val="Arial"/>
            <family val="2"/>
          </rPr>
          <t>Rentrée le montant dépences (ex: -45€) ou recettes (ex: 45€)</t>
        </r>
      </text>
    </comment>
    <comment ref="D76" authorId="0">
      <text>
        <r>
          <rPr>
            <b/>
            <sz val="9"/>
            <rFont val="Arial"/>
            <family val="2"/>
          </rPr>
          <t>Choisir dans le menu déroulant la rubrique ou le Lot</t>
        </r>
      </text>
    </comment>
    <comment ref="F76" authorId="0">
      <text>
        <r>
          <rPr>
            <b/>
            <sz val="9"/>
            <rFont val="Arial"/>
            <family val="2"/>
          </rPr>
          <t>Validation des rapprochement</t>
        </r>
      </text>
    </comment>
    <comment ref="F86" authorId="0">
      <text>
        <r>
          <rPr>
            <b/>
            <sz val="9"/>
            <rFont val="Arial"/>
            <family val="2"/>
          </rPr>
          <t>Inscrire le montant pour rapprochement bancaire, le solde banque doit être = à la case à gauche</t>
        </r>
      </text>
    </comment>
    <comment ref="C93" authorId="0">
      <text>
        <r>
          <rPr>
            <b/>
            <sz val="9"/>
            <rFont val="Arial"/>
            <family val="2"/>
          </rPr>
          <t>Rentrée le montant dépences (ex: -45€) ou recettes (ex: 45€)</t>
        </r>
      </text>
    </comment>
    <comment ref="D93" authorId="0">
      <text>
        <r>
          <rPr>
            <b/>
            <sz val="9"/>
            <rFont val="Arial"/>
            <family val="2"/>
          </rPr>
          <t>Choisir dans le menu déroulant la rubrique ou le Lot</t>
        </r>
      </text>
    </comment>
    <comment ref="F93" authorId="0">
      <text>
        <r>
          <rPr>
            <b/>
            <sz val="9"/>
            <rFont val="Arial"/>
            <family val="2"/>
          </rPr>
          <t>Validation des rapprochement</t>
        </r>
      </text>
    </comment>
    <comment ref="F103" authorId="0">
      <text>
        <r>
          <rPr>
            <b/>
            <sz val="9"/>
            <rFont val="Arial"/>
            <family val="2"/>
          </rPr>
          <t>Inscrire le montant pour rapprochement bancaire, le solde banque doit être = à la case à gauche</t>
        </r>
      </text>
    </comment>
    <comment ref="C106" authorId="0">
      <text>
        <r>
          <rPr>
            <b/>
            <sz val="9"/>
            <rFont val="Arial"/>
            <family val="2"/>
          </rPr>
          <t>Rentrée le montant dépences (ex: -45€) ou recettes (ex: 45€)</t>
        </r>
      </text>
    </comment>
    <comment ref="D106" authorId="0">
      <text>
        <r>
          <rPr>
            <b/>
            <sz val="9"/>
            <rFont val="Arial"/>
            <family val="2"/>
          </rPr>
          <t>Choisir dans le menu déroulant la rubrique ou le Lot</t>
        </r>
      </text>
    </comment>
    <comment ref="F106" authorId="0">
      <text>
        <r>
          <rPr>
            <b/>
            <sz val="9"/>
            <rFont val="Arial"/>
            <family val="2"/>
          </rPr>
          <t>Validation des rapprochement</t>
        </r>
      </text>
    </comment>
    <comment ref="F116" authorId="0">
      <text>
        <r>
          <rPr>
            <b/>
            <sz val="9"/>
            <rFont val="Arial"/>
            <family val="2"/>
          </rPr>
          <t>Inscrire le montant pour rapprochement bancaire, le solde banque doit être = à la case à gauche</t>
        </r>
      </text>
    </comment>
    <comment ref="C119" authorId="0">
      <text>
        <r>
          <rPr>
            <b/>
            <sz val="9"/>
            <rFont val="Arial"/>
            <family val="2"/>
          </rPr>
          <t>Rentrée le montant dépences (ex: -45€) ou recettes (ex: 45€)</t>
        </r>
      </text>
    </comment>
    <comment ref="D119" authorId="0">
      <text>
        <r>
          <rPr>
            <b/>
            <sz val="9"/>
            <rFont val="Arial"/>
            <family val="2"/>
          </rPr>
          <t>Choisir dans le menu déroulant la rubrique ou le Lot</t>
        </r>
      </text>
    </comment>
    <comment ref="F119" authorId="0">
      <text>
        <r>
          <rPr>
            <b/>
            <sz val="9"/>
            <rFont val="Arial"/>
            <family val="2"/>
          </rPr>
          <t>Validation des rapprochement</t>
        </r>
      </text>
    </comment>
    <comment ref="F129" authorId="0">
      <text>
        <r>
          <rPr>
            <b/>
            <sz val="9"/>
            <rFont val="Arial"/>
            <family val="2"/>
          </rPr>
          <t>Inscrire le montant pour rapprochement bancaire, le solde banque doit être = à la case à gauche</t>
        </r>
      </text>
    </comment>
    <comment ref="C136" authorId="0">
      <text>
        <r>
          <rPr>
            <b/>
            <sz val="9"/>
            <rFont val="Arial"/>
            <family val="2"/>
          </rPr>
          <t>Rentrée le montant dépences (ex: -45€) ou recettes (ex: 45€)</t>
        </r>
      </text>
    </comment>
    <comment ref="D136" authorId="0">
      <text>
        <r>
          <rPr>
            <b/>
            <sz val="9"/>
            <rFont val="Arial"/>
            <family val="2"/>
          </rPr>
          <t>Choisir dans le menu déroulant la rubrique ou le Lot</t>
        </r>
      </text>
    </comment>
    <comment ref="F136" authorId="0">
      <text>
        <r>
          <rPr>
            <b/>
            <sz val="9"/>
            <rFont val="Arial"/>
            <family val="2"/>
          </rPr>
          <t>Validation des rapprochement</t>
        </r>
      </text>
    </comment>
    <comment ref="F146" authorId="0">
      <text>
        <r>
          <rPr>
            <b/>
            <sz val="9"/>
            <rFont val="Arial"/>
            <family val="2"/>
          </rPr>
          <t>Inscrire le montant pour rapprochement bancaire, le solde banque doit être = à la case à gauche</t>
        </r>
      </text>
    </comment>
    <comment ref="C149" authorId="0">
      <text>
        <r>
          <rPr>
            <b/>
            <sz val="9"/>
            <rFont val="Arial"/>
            <family val="2"/>
          </rPr>
          <t>Rentrée le montant dépences (ex: -45€) ou recettes (ex: 45€)</t>
        </r>
      </text>
    </comment>
    <comment ref="D149" authorId="0">
      <text>
        <r>
          <rPr>
            <b/>
            <sz val="9"/>
            <rFont val="Arial"/>
            <family val="2"/>
          </rPr>
          <t>Choisir dans le menu déroulant la rubrique ou le Lot</t>
        </r>
      </text>
    </comment>
    <comment ref="F149" authorId="0">
      <text>
        <r>
          <rPr>
            <b/>
            <sz val="9"/>
            <rFont val="Arial"/>
            <family val="2"/>
          </rPr>
          <t>Validation des rapprochement</t>
        </r>
      </text>
    </comment>
    <comment ref="F159" authorId="0">
      <text>
        <r>
          <rPr>
            <b/>
            <sz val="9"/>
            <rFont val="Arial"/>
            <family val="2"/>
          </rPr>
          <t>Inscrire le montant pour rapprochement bancaire, le solde banque doit être = à la case à gauche</t>
        </r>
      </text>
    </comment>
    <comment ref="C162" authorId="0">
      <text>
        <r>
          <rPr>
            <b/>
            <sz val="9"/>
            <rFont val="Arial"/>
            <family val="2"/>
          </rPr>
          <t>Rentrée le montant dépences (ex: -45€) ou recettes (ex: 45€)</t>
        </r>
      </text>
    </comment>
    <comment ref="D162" authorId="0">
      <text>
        <r>
          <rPr>
            <b/>
            <sz val="9"/>
            <rFont val="Arial"/>
            <family val="2"/>
          </rPr>
          <t>Choisir dans le menu déroulant la rubrique ou le Lot</t>
        </r>
      </text>
    </comment>
    <comment ref="F162" authorId="0">
      <text>
        <r>
          <rPr>
            <b/>
            <sz val="9"/>
            <rFont val="Arial"/>
            <family val="2"/>
          </rPr>
          <t>Validation des rapprochement</t>
        </r>
      </text>
    </comment>
    <comment ref="F172" authorId="0">
      <text>
        <r>
          <rPr>
            <b/>
            <sz val="9"/>
            <rFont val="Arial"/>
            <family val="2"/>
          </rPr>
          <t>Inscrire le montant pour rapprochement bancaire, le solde banque doit être = à la case à gauche</t>
        </r>
      </text>
    </comment>
    <comment ref="A63" authorId="0">
      <text>
        <r>
          <rPr>
            <b/>
            <sz val="9"/>
            <rFont val="Arial"/>
            <family val="2"/>
          </rPr>
          <t>Entrée la date sous la forme JJ/MM</t>
        </r>
      </text>
    </comment>
    <comment ref="A76" authorId="0">
      <text>
        <r>
          <rPr>
            <b/>
            <sz val="9"/>
            <rFont val="Arial"/>
            <family val="2"/>
          </rPr>
          <t>Entrée la date sous la forme JJ/MM</t>
        </r>
      </text>
    </comment>
    <comment ref="A93" authorId="0">
      <text>
        <r>
          <rPr>
            <b/>
            <sz val="9"/>
            <rFont val="Arial"/>
            <family val="2"/>
          </rPr>
          <t>Entrée la date sous la forme JJ/MM</t>
        </r>
      </text>
    </comment>
    <comment ref="A106" authorId="0">
      <text>
        <r>
          <rPr>
            <b/>
            <sz val="9"/>
            <rFont val="Arial"/>
            <family val="2"/>
          </rPr>
          <t>Entrée la date sous la forme JJ/MM</t>
        </r>
      </text>
    </comment>
    <comment ref="A119" authorId="0">
      <text>
        <r>
          <rPr>
            <b/>
            <sz val="9"/>
            <rFont val="Arial"/>
            <family val="2"/>
          </rPr>
          <t>Entrée la date sous la forme JJ/MM</t>
        </r>
      </text>
    </comment>
    <comment ref="A136" authorId="0">
      <text>
        <r>
          <rPr>
            <b/>
            <sz val="9"/>
            <rFont val="Arial"/>
            <family val="2"/>
          </rPr>
          <t>Entrée la date sous la forme JJ/MM</t>
        </r>
      </text>
    </comment>
    <comment ref="A149" authorId="0">
      <text>
        <r>
          <rPr>
            <b/>
            <sz val="9"/>
            <rFont val="Arial"/>
            <family val="2"/>
          </rPr>
          <t>Entrée la date sous la forme JJ/MM</t>
        </r>
      </text>
    </comment>
    <comment ref="A162" authorId="0">
      <text>
        <r>
          <rPr>
            <b/>
            <sz val="9"/>
            <rFont val="Arial"/>
            <family val="2"/>
          </rPr>
          <t>Entrée la date sous la forme JJ/MM</t>
        </r>
      </text>
    </comment>
    <comment ref="J50" authorId="0">
      <text>
        <r>
          <rPr>
            <b/>
            <sz val="9"/>
            <rFont val="Arial"/>
            <family val="2"/>
          </rPr>
          <t>Choisir dans le menu déroulant le compte du plan comptable</t>
        </r>
      </text>
    </comment>
    <comment ref="J63" authorId="0">
      <text>
        <r>
          <rPr>
            <b/>
            <sz val="9"/>
            <rFont val="Arial"/>
            <family val="2"/>
          </rPr>
          <t>Choisir dans le menu déroulant le compte du plan comptable</t>
        </r>
      </text>
    </comment>
    <comment ref="J76" authorId="0">
      <text>
        <r>
          <rPr>
            <b/>
            <sz val="9"/>
            <rFont val="Arial"/>
            <family val="2"/>
          </rPr>
          <t>Choisir dans le menu déroulant le compte du plan comptable</t>
        </r>
      </text>
    </comment>
    <comment ref="J93" authorId="0">
      <text>
        <r>
          <rPr>
            <b/>
            <sz val="9"/>
            <rFont val="Arial"/>
            <family val="2"/>
          </rPr>
          <t>Choisir dans le menu déroulant le compte du plan comptable</t>
        </r>
      </text>
    </comment>
    <comment ref="J119" authorId="0">
      <text>
        <r>
          <rPr>
            <b/>
            <sz val="9"/>
            <rFont val="Arial"/>
            <family val="2"/>
          </rPr>
          <t>Choisir dans le menu déroulant le compte du plan comptable</t>
        </r>
      </text>
    </comment>
    <comment ref="J136" authorId="0">
      <text>
        <r>
          <rPr>
            <b/>
            <sz val="9"/>
            <rFont val="Arial"/>
            <family val="2"/>
          </rPr>
          <t>Choisir dans le menu déroulant le compte du plan comptable</t>
        </r>
      </text>
    </comment>
    <comment ref="J149" authorId="0">
      <text>
        <r>
          <rPr>
            <b/>
            <sz val="9"/>
            <rFont val="Arial"/>
            <family val="2"/>
          </rPr>
          <t>Choisir dans le menu déroulant le compte du plan comptable</t>
        </r>
      </text>
    </comment>
    <comment ref="J162" authorId="0">
      <text>
        <r>
          <rPr>
            <b/>
            <sz val="9"/>
            <rFont val="Arial"/>
            <family val="2"/>
          </rPr>
          <t>Choisir dans le menu déroulant le compte du plan comptable</t>
        </r>
      </text>
    </comment>
    <comment ref="J106" authorId="0">
      <text>
        <r>
          <rPr>
            <b/>
            <sz val="9"/>
            <rFont val="Arial"/>
            <family val="2"/>
          </rPr>
          <t>Choisir dans le menu déroulant le compte du plan comptable</t>
        </r>
      </text>
    </comment>
    <comment ref="J7" authorId="0">
      <text>
        <r>
          <rPr>
            <b/>
            <sz val="9"/>
            <rFont val="Arial"/>
            <family val="2"/>
          </rPr>
          <t>Choisir dans le menu déroulant le compte du plan comptable</t>
        </r>
      </text>
    </comment>
    <comment ref="J20" authorId="0">
      <text>
        <r>
          <rPr>
            <b/>
            <sz val="9"/>
            <rFont val="Arial"/>
            <family val="2"/>
          </rPr>
          <t>Choisir dans le menu déroulant le compte du plan comptable</t>
        </r>
      </text>
    </comment>
    <comment ref="J33" authorId="0">
      <text>
        <r>
          <rPr>
            <b/>
            <sz val="9"/>
            <rFont val="Arial"/>
            <family val="2"/>
          </rPr>
          <t>Choisir dans le menu déroulant le compte du plan comptable</t>
        </r>
      </text>
    </comment>
    <comment ref="G17" authorId="0">
      <text>
        <r>
          <rPr>
            <b/>
            <sz val="9"/>
            <rFont val="Arial"/>
            <family val="2"/>
          </rPr>
          <t>Total Trésorerie des comptes copropriétaires</t>
        </r>
      </text>
    </comment>
    <comment ref="E7" authorId="0">
      <text>
        <r>
          <rPr>
            <b/>
            <sz val="9"/>
            <rFont val="Arial"/>
            <family val="2"/>
          </rPr>
          <t>Ventillation des charges générales et d'escalier entre propriétaires et locataires. S'applique uniquement aux charges, abonnement et consommation, eau et electricité, entretien des locaux, etc...</t>
        </r>
      </text>
    </comment>
    <comment ref="D17" authorId="0">
      <text>
        <r>
          <rPr>
            <b/>
            <sz val="9"/>
            <rFont val="Arial"/>
            <family val="2"/>
          </rPr>
          <t>Solde des opérations du mois</t>
        </r>
      </text>
    </comment>
    <comment ref="E20" authorId="0">
      <text>
        <r>
          <rPr>
            <b/>
            <sz val="9"/>
            <rFont val="Arial"/>
            <family val="2"/>
          </rPr>
          <t>Ventillation des charges générales et d'escalier entre propriétaires et locataires. S'applique uniquement aux charges, abonnement et consommation, eau et electricité, entretien des locaux, etc...</t>
        </r>
      </text>
    </comment>
    <comment ref="E33" authorId="0">
      <text>
        <r>
          <rPr>
            <b/>
            <sz val="9"/>
            <rFont val="Arial"/>
            <family val="2"/>
          </rPr>
          <t>Ventillation des charges générales et d'escalier entre propriétaires et locataires. S'applique uniquement aux charges, abonnement et consommation, eau et electricité, entretien des locaux, etc...</t>
        </r>
      </text>
    </comment>
    <comment ref="E50" authorId="0">
      <text>
        <r>
          <rPr>
            <b/>
            <sz val="9"/>
            <rFont val="Arial"/>
            <family val="2"/>
          </rPr>
          <t>Ventillation des charges générales et d'escalier entre propriétaires et locataires. S'applique uniquement aux charges, abonnement et consommation, eau et electricité, entretien des locaux, etc...</t>
        </r>
      </text>
    </comment>
    <comment ref="E63" authorId="0">
      <text>
        <r>
          <rPr>
            <b/>
            <sz val="9"/>
            <rFont val="Arial"/>
            <family val="2"/>
          </rPr>
          <t>Ventillation des charges générales et d'escalier entre propriétaires et locataires. S'applique uniquement aux charges, abonnement et consommation, eau et electricité, entretien des locaux, etc...</t>
        </r>
      </text>
    </comment>
    <comment ref="E76" authorId="0">
      <text>
        <r>
          <rPr>
            <b/>
            <sz val="9"/>
            <rFont val="Arial"/>
            <family val="2"/>
          </rPr>
          <t>Ventillation des charges générales et d'escalier entre propriétaires et locataires. S'applique uniquement aux charges, abonnement et consommation, eau et electricité, entretien des locaux, etc...</t>
        </r>
      </text>
    </comment>
    <comment ref="E93" authorId="0">
      <text>
        <r>
          <rPr>
            <b/>
            <sz val="9"/>
            <rFont val="Arial"/>
            <family val="2"/>
          </rPr>
          <t>Ventillation des charges générales et d'escalier entre propriétaires et locataires. S'applique uniquement aux charges, abonnement et consommation, eau et electricité, entretien des locaux, etc...</t>
        </r>
      </text>
    </comment>
    <comment ref="A1" authorId="1">
      <text>
        <r>
          <rPr>
            <b/>
            <sz val="9"/>
            <rFont val="Arial"/>
            <family val="2"/>
          </rPr>
          <t>Ventillation des charges générales et d'escalier entre propriétaires et locataires. S'applique uniquement aux charges, abonnement et consommation, eau et electricité, entretien des locaux, etc...</t>
        </r>
      </text>
    </comment>
    <comment ref="A1" authorId="1">
      <text>
        <r>
          <rPr>
            <b/>
            <sz val="9"/>
            <rFont val="Arial"/>
            <family val="2"/>
          </rPr>
          <t>Ventillation des charges générales et d'escalier entre propriétaires et locataires. S'applique uniquement aux charges, abonnement et consommation, eau et electricité, entretien des locaux, etc...</t>
        </r>
      </text>
    </comment>
    <comment ref="A1" authorId="1">
      <text>
        <r>
          <rPr>
            <b/>
            <sz val="9"/>
            <rFont val="Arial"/>
            <family val="2"/>
          </rPr>
          <t>Ventillation des charges générales et d'escalier entre propriétaires et locataires. S'applique uniquement aux charges, abonnement et consommation, eau et electricité, entretien des locaux, etc...</t>
        </r>
      </text>
    </comment>
    <comment ref="A1" authorId="1">
      <text>
        <r>
          <rPr>
            <b/>
            <sz val="9"/>
            <rFont val="Arial"/>
            <family val="2"/>
          </rPr>
          <t>Ventillation des charges générales et d'escalier entre propriétaires et locataires. S'applique uniquement aux charges, abonnement et consommation, eau et electricité, entretien des locaux, etc...</t>
        </r>
      </text>
    </comment>
    <comment ref="A1" authorId="1">
      <text>
        <r>
          <rPr>
            <b/>
            <sz val="9"/>
            <rFont val="Arial"/>
            <family val="2"/>
          </rPr>
          <t>Ventillation des charges générales et d'escalier entre propriétaires et locataires. S'applique uniquement aux charges, abonnement et consommation, eau et electricité, entretien des locaux, etc...</t>
        </r>
      </text>
    </comment>
  </commentList>
</comments>
</file>

<file path=xl/comments4.xml><?xml version="1.0" encoding="utf-8"?>
<comments xmlns="http://schemas.openxmlformats.org/spreadsheetml/2006/main">
  <authors>
    <author>Auneau Nicolas</author>
  </authors>
  <commentList>
    <comment ref="B4" authorId="0">
      <text>
        <r>
          <rPr>
            <b/>
            <sz val="9"/>
            <rFont val="Arial"/>
            <family val="2"/>
          </rPr>
          <t>Solde de la trésorerie en fin d'exercice N-1</t>
        </r>
      </text>
    </comment>
    <comment ref="B27" authorId="0">
      <text>
        <r>
          <rPr>
            <b/>
            <sz val="9"/>
            <rFont val="Arial"/>
            <family val="2"/>
          </rPr>
          <t>Solde de la trésorerie en fin d'exercice N-1</t>
        </r>
      </text>
    </comment>
    <comment ref="B50" authorId="0">
      <text>
        <r>
          <rPr>
            <b/>
            <sz val="9"/>
            <rFont val="Arial"/>
            <family val="2"/>
          </rPr>
          <t>Solde de la trésorerie en fin d'exercice N-1</t>
        </r>
      </text>
    </comment>
    <comment ref="B73" authorId="0">
      <text>
        <r>
          <rPr>
            <b/>
            <sz val="9"/>
            <rFont val="Arial"/>
            <family val="2"/>
          </rPr>
          <t>Solde de la trésorerie en fin d'exercice N-1</t>
        </r>
      </text>
    </comment>
    <comment ref="B96" authorId="0">
      <text>
        <r>
          <rPr>
            <b/>
            <sz val="9"/>
            <rFont val="Arial"/>
            <family val="2"/>
          </rPr>
          <t>Solde de la trésorerie en fin d'exercice N-1</t>
        </r>
      </text>
    </comment>
    <comment ref="B165" authorId="0">
      <text>
        <r>
          <rPr>
            <b/>
            <sz val="9"/>
            <rFont val="Arial"/>
            <family val="2"/>
          </rPr>
          <t>Solde de la trésorerie en fin d'exercice N-1</t>
        </r>
      </text>
    </comment>
    <comment ref="I4" authorId="0">
      <text>
        <r>
          <rPr>
            <b/>
            <sz val="9"/>
            <rFont val="Arial"/>
            <family val="2"/>
          </rPr>
          <t>Solde de la réserve  en fin d'exercice N-1</t>
        </r>
      </text>
    </comment>
    <comment ref="I27" authorId="0">
      <text>
        <r>
          <rPr>
            <b/>
            <sz val="9"/>
            <rFont val="Arial"/>
            <family val="2"/>
          </rPr>
          <t>Solde de la réserve  en fin d'exercice N-1</t>
        </r>
      </text>
    </comment>
    <comment ref="I50" authorId="0">
      <text>
        <r>
          <rPr>
            <b/>
            <sz val="9"/>
            <rFont val="Arial"/>
            <family val="2"/>
          </rPr>
          <t>Solde de la réserve  en fin d'exercice N-1</t>
        </r>
      </text>
    </comment>
    <comment ref="I73" authorId="0">
      <text>
        <r>
          <rPr>
            <b/>
            <sz val="9"/>
            <rFont val="Arial"/>
            <family val="2"/>
          </rPr>
          <t>Solde de la réserve  en fin d'exercice N-1</t>
        </r>
      </text>
    </comment>
    <comment ref="I96" authorId="0">
      <text>
        <r>
          <rPr>
            <b/>
            <sz val="9"/>
            <rFont val="Arial"/>
            <family val="2"/>
          </rPr>
          <t>Solde de la réserve  en fin d'exercice N-1</t>
        </r>
      </text>
    </comment>
    <comment ref="I165" authorId="0">
      <text>
        <r>
          <rPr>
            <b/>
            <sz val="9"/>
            <rFont val="Arial"/>
            <family val="2"/>
          </rPr>
          <t>Solde de la réserve  en fin d'exercice N-1</t>
        </r>
      </text>
    </comment>
    <comment ref="B119" authorId="0">
      <text>
        <r>
          <rPr>
            <b/>
            <sz val="9"/>
            <rFont val="Arial"/>
            <family val="2"/>
          </rPr>
          <t>Solde de la trésorerie en fin d'exercice N-1</t>
        </r>
      </text>
    </comment>
    <comment ref="I119" authorId="0">
      <text>
        <r>
          <rPr>
            <b/>
            <sz val="9"/>
            <rFont val="Arial"/>
            <family val="2"/>
          </rPr>
          <t>Solde de la réserve  en fin d'exercice N-1</t>
        </r>
      </text>
    </comment>
    <comment ref="B142" authorId="0">
      <text>
        <r>
          <rPr>
            <b/>
            <sz val="9"/>
            <rFont val="Arial"/>
            <family val="2"/>
          </rPr>
          <t>Solde de la trésorerie en fin d'exercice N-1</t>
        </r>
      </text>
    </comment>
    <comment ref="I142" authorId="0">
      <text>
        <r>
          <rPr>
            <b/>
            <sz val="9"/>
            <rFont val="Arial"/>
            <family val="2"/>
          </rPr>
          <t>Solde de la réserve  en fin d'exercice N-1</t>
        </r>
      </text>
    </comment>
  </commentList>
</comments>
</file>

<file path=xl/comments5.xml><?xml version="1.0" encoding="utf-8"?>
<comments xmlns="http://schemas.openxmlformats.org/spreadsheetml/2006/main">
  <authors>
    <author>Auneau Nicolas</author>
  </authors>
  <commentList>
    <comment ref="B13" authorId="0">
      <text>
        <r>
          <rPr>
            <b/>
            <sz val="9"/>
            <rFont val="Arial"/>
            <family val="2"/>
          </rPr>
          <t>Choisir le lot dans la liste concerné par l'appel de fond</t>
        </r>
      </text>
    </comment>
    <comment ref="D12" authorId="0">
      <text>
        <r>
          <rPr>
            <b/>
            <sz val="9"/>
            <rFont val="Arial"/>
            <family val="2"/>
          </rPr>
          <t>Choisir la période pourl'appels de fond</t>
        </r>
      </text>
    </comment>
  </commentList>
</comments>
</file>

<file path=xl/comments6.xml><?xml version="1.0" encoding="utf-8"?>
<comments xmlns="http://schemas.openxmlformats.org/spreadsheetml/2006/main">
  <authors>
    <author>Auneau Nicolas</author>
  </authors>
  <commentList>
    <comment ref="B13" authorId="0">
      <text>
        <r>
          <rPr>
            <b/>
            <sz val="9"/>
            <rFont val="Arial"/>
            <family val="2"/>
          </rPr>
          <t>Choisir dans la liste le Lot à éditer</t>
        </r>
      </text>
    </comment>
  </commentList>
</comments>
</file>

<file path=xl/comments8.xml><?xml version="1.0" encoding="utf-8"?>
<comments xmlns="http://schemas.openxmlformats.org/spreadsheetml/2006/main">
  <authors>
    <author>Auneau Nicolas</author>
  </authors>
  <commentList>
    <comment ref="N5" authorId="0">
      <text>
        <r>
          <rPr>
            <b/>
            <sz val="9"/>
            <rFont val="Arial"/>
            <family val="2"/>
          </rPr>
          <t>Compléter avec les données de l'exercice N-1</t>
        </r>
      </text>
    </comment>
    <comment ref="N43" authorId="0">
      <text>
        <r>
          <rPr>
            <b/>
            <sz val="9"/>
            <rFont val="Arial"/>
            <family val="2"/>
          </rPr>
          <t>Compléter avec les données de l'exercice N-1</t>
        </r>
      </text>
    </comment>
    <comment ref="N78" authorId="0">
      <text>
        <r>
          <rPr>
            <b/>
            <sz val="9"/>
            <rFont val="Arial"/>
            <family val="2"/>
          </rPr>
          <t>Compléter avec les donnés de l'exercice N-1</t>
        </r>
      </text>
    </comment>
    <comment ref="Q78" authorId="0">
      <text>
        <r>
          <rPr>
            <b/>
            <sz val="9"/>
            <rFont val="Arial"/>
            <family val="2"/>
          </rPr>
          <t>Compléter avec les donnés du budget prévisionnel N+1</t>
        </r>
      </text>
    </comment>
    <comment ref="R78" authorId="0">
      <text>
        <r>
          <rPr>
            <b/>
            <sz val="9"/>
            <rFont val="Arial"/>
            <family val="2"/>
          </rPr>
          <t>Compléter avec les donnés de l'exercice N+2</t>
        </r>
      </text>
    </comment>
    <comment ref="K38" authorId="0">
      <text>
        <r>
          <rPr>
            <b/>
            <sz val="9"/>
            <rFont val="Arial"/>
            <family val="2"/>
          </rPr>
          <t>Montant inscrit au tableau d'amortissement du prêt à la fin de l'exercice</t>
        </r>
      </text>
    </comment>
  </commentList>
</comments>
</file>

<file path=xl/sharedStrings.xml><?xml version="1.0" encoding="utf-8"?>
<sst xmlns="http://schemas.openxmlformats.org/spreadsheetml/2006/main" count="1542" uniqueCount="499">
  <si>
    <t>Répartition</t>
  </si>
  <si>
    <t>Email</t>
  </si>
  <si>
    <t>PRODUITS POUR TRAVAUX, AUTRES OPERATIONS EXCEPTIONNELLES</t>
  </si>
  <si>
    <t>Onglet Copropriété :</t>
  </si>
  <si>
    <t>Remplir les reports de charges de l'exercice précédent.</t>
  </si>
  <si>
    <t xml:space="preserve">Appel travaux, emprunts et subventions reçus </t>
  </si>
  <si>
    <t>Charge2</t>
  </si>
  <si>
    <t xml:space="preserve"> </t>
  </si>
  <si>
    <t>Total Charges d'Escalier</t>
  </si>
  <si>
    <t>Sélectionner la copropriété à éditer et imprimer.</t>
  </si>
  <si>
    <t>Total Charge Annuel :</t>
  </si>
  <si>
    <t>Repport soldes 1er trimestre :</t>
  </si>
  <si>
    <t>Travaux</t>
  </si>
  <si>
    <t>Prorata</t>
  </si>
  <si>
    <t>Vote17</t>
  </si>
  <si>
    <t>Vote18</t>
  </si>
  <si>
    <t>Vote13</t>
  </si>
  <si>
    <t>Vote14</t>
  </si>
  <si>
    <t>Vote15</t>
  </si>
  <si>
    <t>Le solde de votre compte est débiteur de :</t>
  </si>
  <si>
    <t>°Sont montant (ex: -40,00€) pour une dépenses ou (ex: 40,00€) pour un crédit,</t>
  </si>
  <si>
    <t>Trésorerie</t>
  </si>
  <si>
    <t>Exercice clos</t>
  </si>
  <si>
    <t>Solde excédent</t>
  </si>
  <si>
    <t>CHARGES POUR OPERATIONS COURANTES</t>
  </si>
  <si>
    <t>incombant au lot n°4 pour le 3ème Trimestre, s'éléve à :</t>
  </si>
  <si>
    <t>Compte de l'exercice</t>
  </si>
  <si>
    <t>Remplir l'estimation des produits pour les exercices suivants.</t>
  </si>
  <si>
    <t>Solde prévisionnel</t>
  </si>
  <si>
    <t>Total Quote-part</t>
  </si>
  <si>
    <t>Budget Prévisionnel</t>
  </si>
  <si>
    <t>Syndicat des Copropriétaires</t>
  </si>
  <si>
    <t>Annexe n°1</t>
  </si>
  <si>
    <t>Le solde des appels précedents est de :</t>
  </si>
  <si>
    <t>F</t>
  </si>
  <si>
    <t>incombant au lot n°5 pour le 3ème Trimestre, s'éléve à :</t>
  </si>
  <si>
    <t>Annexes Comptables</t>
  </si>
  <si>
    <t>Tableau des annexes comptables du Décret n°2005-240.</t>
  </si>
  <si>
    <t>Annexe1-page 1 :</t>
  </si>
  <si>
    <t>A</t>
  </si>
  <si>
    <t>B</t>
  </si>
  <si>
    <t>C</t>
  </si>
  <si>
    <t>D</t>
  </si>
  <si>
    <t>Lot n°M</t>
  </si>
  <si>
    <t>Copropriétaires</t>
  </si>
  <si>
    <t>Vous avez la possibilité de modifier l'intitulé des charges, leur type de répartition (prorata/tantième), les charges sont ventilées comptablement à partir de ces données.</t>
  </si>
  <si>
    <t>Lot n°3 :</t>
  </si>
  <si>
    <t>Sous-Total</t>
  </si>
  <si>
    <t>Créances douteuses*</t>
  </si>
  <si>
    <t>Exercice précédent approuvé</t>
  </si>
  <si>
    <t>Liste Présent</t>
  </si>
  <si>
    <t>Conseil Syndicale du</t>
  </si>
  <si>
    <t>Lot n°1</t>
  </si>
  <si>
    <t>Lot n°3</t>
  </si>
  <si>
    <t>Majorité simple</t>
  </si>
  <si>
    <t>Juillet</t>
  </si>
  <si>
    <t>Août</t>
  </si>
  <si>
    <t>Septembre</t>
  </si>
  <si>
    <t>Octobre</t>
  </si>
  <si>
    <t>Novembre</t>
  </si>
  <si>
    <t>661 Rembourcement d'annuités d'emprunt</t>
  </si>
  <si>
    <t>Liste Porprio</t>
  </si>
  <si>
    <t>°Sa description sommaire (Nom, référence facture),</t>
  </si>
  <si>
    <t>714 Produits divers</t>
  </si>
  <si>
    <t>page 1</t>
  </si>
  <si>
    <t>page 2</t>
  </si>
  <si>
    <t>Annexe4-page 5 et Annexe5-page6 :</t>
  </si>
  <si>
    <t>68 Dotations aux dépréciations sur créances</t>
  </si>
  <si>
    <t>1er Sem</t>
  </si>
  <si>
    <t>3ème Tri</t>
  </si>
  <si>
    <t>Annexes décret comptable</t>
  </si>
  <si>
    <t>Nombres de voix présentes</t>
  </si>
  <si>
    <t>CP</t>
  </si>
  <si>
    <t>Lots</t>
  </si>
  <si>
    <t>Charge Spéciale 1 :</t>
  </si>
  <si>
    <t>Charge Spéciale 2:</t>
  </si>
  <si>
    <t>Lot n°2 :</t>
  </si>
  <si>
    <t>677 Pertes sur créances irrécouvrables</t>
  </si>
  <si>
    <t>Adres.</t>
  </si>
  <si>
    <t>Onglet prévisionnel :</t>
  </si>
  <si>
    <t>701 Provisions sur opérations courantes</t>
  </si>
  <si>
    <t>703 Avances</t>
  </si>
  <si>
    <t>Soldes début exercice :</t>
  </si>
  <si>
    <t>Remplir l'estimation des charges pour les exercices suivants.</t>
  </si>
  <si>
    <t>Etablir en début d'exercice le budget prévisionnel de la copropriété en charges et en produits.</t>
  </si>
  <si>
    <t>713 Indemnités d'assurances</t>
  </si>
  <si>
    <t>Charges d'eau froide</t>
  </si>
  <si>
    <t>Ancien</t>
  </si>
  <si>
    <t>1er Semestre</t>
  </si>
  <si>
    <t>2ème Semestre</t>
  </si>
  <si>
    <t>Conso</t>
  </si>
  <si>
    <t>Locataires</t>
  </si>
  <si>
    <r>
      <t></t>
    </r>
    <r>
      <rPr>
        <sz val="12"/>
        <rFont val="Verdana"/>
        <family val="2"/>
      </rPr>
      <t xml:space="preserve"> </t>
    </r>
    <r>
      <rPr>
        <sz val="12"/>
        <rFont val="Arial"/>
        <family val="2"/>
      </rPr>
      <t>Provision sur charges spéciales</t>
    </r>
  </si>
  <si>
    <t>Travaux toiture</t>
  </si>
  <si>
    <t>Débit</t>
  </si>
  <si>
    <t>Crédit</t>
  </si>
  <si>
    <t>Le Syndic</t>
  </si>
  <si>
    <t>Référence Dossier :</t>
  </si>
  <si>
    <t>Vote11</t>
  </si>
  <si>
    <t>Vote12</t>
  </si>
  <si>
    <r>
      <t>w</t>
    </r>
    <r>
      <rPr>
        <sz val="12"/>
        <rFont val="Verdana"/>
        <family val="2"/>
      </rPr>
      <t xml:space="preserve"> Constitution de provisions</t>
    </r>
  </si>
  <si>
    <t>4ème trimestre</t>
  </si>
  <si>
    <t>Syndic de Copropriété</t>
  </si>
  <si>
    <t>Délibération de l'AG</t>
  </si>
  <si>
    <t>Sauf pour les comptes de charges "travaux" et "provision" qui correspondent à une ventilation spéciale dans les documents comptables, vous pouvez attribuer n'importe quel type de charge sur les autres postes.</t>
  </si>
  <si>
    <r>
      <t></t>
    </r>
    <r>
      <rPr>
        <sz val="12"/>
        <rFont val="Verdana"/>
        <family val="2"/>
      </rPr>
      <t xml:space="preserve"> </t>
    </r>
    <r>
      <rPr>
        <sz val="12"/>
        <rFont val="Arial"/>
        <family val="2"/>
      </rPr>
      <t>1er semestre</t>
    </r>
  </si>
  <si>
    <t>En début d'exercice remplir les cases avec les soldes des comptes trésorerie des lots et les soldes des comptes provisions à la fin de l'exercice précédent N-1 pour chaque copropriétaire.</t>
  </si>
  <si>
    <t>Onglet Relevés de Compte :</t>
  </si>
  <si>
    <t>Relevé de Compte</t>
  </si>
  <si>
    <t>Cpte Débit</t>
  </si>
  <si>
    <t>Tantième</t>
  </si>
  <si>
    <t>Quote-part</t>
  </si>
  <si>
    <t>Base</t>
  </si>
  <si>
    <t>Vote7</t>
  </si>
  <si>
    <t>Vote8</t>
  </si>
  <si>
    <t>Provisions et avances</t>
  </si>
  <si>
    <t>Ventillation des charges</t>
  </si>
  <si>
    <t>Totaux</t>
  </si>
  <si>
    <t>Ventil.</t>
  </si>
  <si>
    <t>(insuffisance sur opérations courantes affectée aux copropriétaires)</t>
  </si>
  <si>
    <t>Liste Vote</t>
  </si>
  <si>
    <t>Oui</t>
  </si>
  <si>
    <t>Non</t>
  </si>
  <si>
    <t>Abstention</t>
  </si>
  <si>
    <r>
      <t></t>
    </r>
    <r>
      <rPr>
        <sz val="12"/>
        <rFont val="Verdana"/>
        <family val="2"/>
      </rPr>
      <t xml:space="preserve"> </t>
    </r>
    <r>
      <rPr>
        <sz val="12"/>
        <rFont val="Arial"/>
        <family val="2"/>
      </rPr>
      <t>Provision sur charges courantes</t>
    </r>
  </si>
  <si>
    <t>2ème Trimestre</t>
  </si>
  <si>
    <t>3ème Trimestre</t>
  </si>
  <si>
    <t>4ème Trimestre</t>
  </si>
  <si>
    <t>Annuel</t>
  </si>
  <si>
    <t xml:space="preserve">Ces formulaires prêts à imprimés doivent être édités à la clôture de l'exercice, ils reprennent l'ensemble des éléments du compte sélectionné. </t>
  </si>
  <si>
    <t>Remplir les reports de charges par type de charges de l'exercice précédent.</t>
  </si>
  <si>
    <t>Solde des compte</t>
  </si>
  <si>
    <t>Repport soldes 2ème trimestre :</t>
  </si>
  <si>
    <t>42 Autres créances</t>
  </si>
  <si>
    <t>Compte</t>
  </si>
  <si>
    <t>Fevrier</t>
  </si>
  <si>
    <t>Réalisés</t>
  </si>
  <si>
    <t>Prévisions</t>
  </si>
  <si>
    <t>Travaux payés</t>
  </si>
  <si>
    <t>Dont somme imputable aux locataires</t>
  </si>
  <si>
    <t>Dépense par lots et par charges</t>
  </si>
  <si>
    <t>Exercice</t>
  </si>
  <si>
    <t>incombant au lot n°5 pour le 2ème Semestre, s'éléve à :</t>
  </si>
  <si>
    <t>°Sa répartition comptable à l'aide du menu déroulant (61, 62, 63, etc.…),</t>
  </si>
  <si>
    <t>Rapprochement bancaire :</t>
  </si>
  <si>
    <t>Propriétaire</t>
  </si>
  <si>
    <t>Total Versement :</t>
  </si>
  <si>
    <t>incombant au lot n°4 pour le 1er Semestre, s'éléve à :</t>
  </si>
  <si>
    <t>Charges d'Escalier :</t>
  </si>
  <si>
    <t>incombant au lot n°1 pour le 1er Semestre, s'éléve à :</t>
  </si>
  <si>
    <t>incombant au lot n°1 pour le 3ème Trimestre, s'éléve à :</t>
  </si>
  <si>
    <t>Solde en attente sur travaux</t>
  </si>
  <si>
    <t>Escalier</t>
  </si>
  <si>
    <t>Liste Ventillation</t>
  </si>
  <si>
    <t>2ème Sem</t>
  </si>
  <si>
    <t>Appel</t>
  </si>
  <si>
    <t>4ème Tri</t>
  </si>
  <si>
    <t>Budget prévi. en cours à voté</t>
  </si>
  <si>
    <t>Remplir le montant restant dû des emprunts de la copropriété.</t>
  </si>
  <si>
    <t xml:space="preserve">En fin de mois inscrire le solde du compte banque dans la case prévue et effectuer le rapprochement grâce à une petite croix mise en face de l'opération dans la colonne banque. </t>
  </si>
  <si>
    <t>711 Subventions sur travaux</t>
  </si>
  <si>
    <t>cours d'enregistrement ou à venir, ni les particularités d'une mutation en cour d'exercice.</t>
  </si>
  <si>
    <t>Remplir manuellement les éléments des tableaux.</t>
  </si>
  <si>
    <t>Travaux de l'article 14-2</t>
  </si>
  <si>
    <t>42 Autres dettes</t>
  </si>
  <si>
    <t>Majorité en nombre (3/5) + majorité des deux tiers des voix soit 667</t>
  </si>
  <si>
    <t>E=D-C</t>
  </si>
  <si>
    <t>=========</t>
  </si>
  <si>
    <t>51 Banques ou fonds disponibles en banque</t>
  </si>
  <si>
    <t>102 Provisions pour travaux</t>
  </si>
  <si>
    <t>103 Avances</t>
  </si>
  <si>
    <t>Lot n°M :</t>
  </si>
  <si>
    <t>3ème trimestre</t>
  </si>
  <si>
    <t>PRODUITS POUR OPERATIONS COURANTES</t>
  </si>
  <si>
    <r>
      <t xml:space="preserve"> </t>
    </r>
    <r>
      <rPr>
        <sz val="12"/>
        <rFont val="Wingdings"/>
        <family val="0"/>
      </rPr>
      <t></t>
    </r>
    <r>
      <rPr>
        <sz val="12"/>
        <rFont val="Verdana"/>
        <family val="2"/>
      </rPr>
      <t xml:space="preserve"> </t>
    </r>
    <r>
      <rPr>
        <sz val="12"/>
        <rFont val="Arial"/>
        <family val="2"/>
      </rPr>
      <t>Assurance</t>
    </r>
  </si>
  <si>
    <r>
      <t></t>
    </r>
    <r>
      <rPr>
        <sz val="12"/>
        <rFont val="Verdana"/>
        <family val="2"/>
      </rPr>
      <t xml:space="preserve"> </t>
    </r>
    <r>
      <rPr>
        <sz val="12"/>
        <rFont val="Arial"/>
        <family val="2"/>
      </rPr>
      <t>EDF</t>
    </r>
  </si>
  <si>
    <r>
      <t></t>
    </r>
    <r>
      <rPr>
        <sz val="12"/>
        <rFont val="Verdana"/>
        <family val="2"/>
      </rPr>
      <t xml:space="preserve"> </t>
    </r>
    <r>
      <rPr>
        <sz val="12"/>
        <rFont val="Arial"/>
        <family val="2"/>
      </rPr>
      <t>Entretien des locaux</t>
    </r>
  </si>
  <si>
    <t>Vers.</t>
  </si>
  <si>
    <t>Quote part prévisionnelles</t>
  </si>
  <si>
    <t>673 Etudes techniques, diagnostic</t>
  </si>
  <si>
    <t>Vote1</t>
  </si>
  <si>
    <t>Tableau de copropriétés</t>
  </si>
  <si>
    <t>Etat financier après répartition au 31/12</t>
  </si>
  <si>
    <t>incombant au lot n°4 pour le 1er Trimestre, s'éléve à :</t>
  </si>
  <si>
    <t>Tableau Consommation d'Eau</t>
  </si>
  <si>
    <t>incombant au lot n°3 pour le 1er Trimestre, s'éléve à :</t>
  </si>
  <si>
    <r>
      <t></t>
    </r>
    <r>
      <rPr>
        <sz val="12"/>
        <rFont val="Verdana"/>
        <family val="2"/>
      </rPr>
      <t xml:space="preserve"> </t>
    </r>
    <r>
      <rPr>
        <sz val="12"/>
        <rFont val="Arial"/>
        <family val="2"/>
      </rPr>
      <t>2ème semestre</t>
    </r>
  </si>
  <si>
    <t>En début d'exercice remplir le solde du compte bancaire à la fin de l'exercice précédent Année N-1.</t>
  </si>
  <si>
    <t>Au cours de l'exercice, pour chaque opération :</t>
  </si>
  <si>
    <t>Juin</t>
  </si>
  <si>
    <t>Solde prévisionnel donné à titre d'information ne prenant pas en compte ni les sommes en</t>
  </si>
  <si>
    <t>Exercice clos réalisé à approuver</t>
  </si>
  <si>
    <t>Travaux ravalement</t>
  </si>
  <si>
    <t>Onglet Attestation Fin Exercice :</t>
  </si>
  <si>
    <t>incombant au lot n°3 pour le 4ème Trimestre, s'éléve à :</t>
  </si>
  <si>
    <t>Remplir l'estimation des charges par type de charges pour les exercices suivants.</t>
  </si>
  <si>
    <t>Total Charge Spéciale 1</t>
  </si>
  <si>
    <t>Décembre</t>
  </si>
  <si>
    <t>2ème trimestre</t>
  </si>
  <si>
    <t>Total II</t>
  </si>
  <si>
    <t>incombant au lot n°5 pour le 2ème Trimestre, s'éléve à :</t>
  </si>
  <si>
    <t>Total I</t>
  </si>
  <si>
    <t>CREANCES</t>
  </si>
  <si>
    <t>DETTES</t>
  </si>
  <si>
    <t>672 Travaux urgents</t>
  </si>
  <si>
    <t>Les feuilles émargements doivent juste être complétées par la date le thème</t>
  </si>
  <si>
    <t>Liste Comptable</t>
  </si>
  <si>
    <t>incombant au lot n°4 pour le 2ème Trimestre, s'éléve à :</t>
  </si>
  <si>
    <t>Exercices clos à approuver</t>
  </si>
  <si>
    <t>Lot n°5</t>
  </si>
  <si>
    <t>au</t>
  </si>
  <si>
    <t>Charges déjà décompté</t>
  </si>
  <si>
    <t>SITUATION FINANCIERE</t>
  </si>
  <si>
    <t>Dans l'onglet comptes lots, pour le compte vendeur supprimer les lignes après la vente, pour le compte acheteur supprimer les lignes avant la vente dans le compte mutation</t>
  </si>
  <si>
    <t>Réception de Convocation</t>
  </si>
  <si>
    <t>60 Achat de matières et fournitures</t>
  </si>
  <si>
    <t>45 Copropriétaires - Exédents versés</t>
  </si>
  <si>
    <r>
      <t></t>
    </r>
    <r>
      <rPr>
        <sz val="12"/>
        <rFont val="Verdana"/>
        <family val="2"/>
      </rPr>
      <t xml:space="preserve"> </t>
    </r>
    <r>
      <rPr>
        <sz val="12"/>
        <rFont val="Arial"/>
        <family val="2"/>
      </rPr>
      <t>Assurance</t>
    </r>
  </si>
  <si>
    <t>°Remplir la date de l'opération (jour/mois),</t>
  </si>
  <si>
    <t>incombant au lot n°3 pour le 2ème Semestre, s'éléve à :</t>
  </si>
  <si>
    <t>Prévisionnel et Comparatif Prévisionnel / réalisation (2 pages)</t>
  </si>
  <si>
    <t>Ventillation Locataires</t>
  </si>
  <si>
    <t>Prévisionnel</t>
  </si>
  <si>
    <t>Total général (I)+(II)</t>
  </si>
  <si>
    <t>Total des Produits</t>
  </si>
  <si>
    <t>Total des Charges</t>
  </si>
  <si>
    <t>Total Charges Travaux</t>
  </si>
  <si>
    <t>Différence</t>
  </si>
  <si>
    <r>
      <t></t>
    </r>
    <r>
      <rPr>
        <sz val="12"/>
        <rFont val="Verdana"/>
        <family val="2"/>
      </rPr>
      <t xml:space="preserve"> </t>
    </r>
    <r>
      <rPr>
        <sz val="12"/>
        <rFont val="Arial"/>
        <family val="2"/>
      </rPr>
      <t>Avances</t>
    </r>
  </si>
  <si>
    <t>Part locataires des charges générales</t>
  </si>
  <si>
    <t>62 Frais d'administration et honoraires</t>
  </si>
  <si>
    <t>Double majorités</t>
  </si>
  <si>
    <t>40 Fournisseurs</t>
  </si>
  <si>
    <t>Tantièmes</t>
  </si>
  <si>
    <t>Avances de travaux</t>
  </si>
  <si>
    <t>Autres avances</t>
  </si>
  <si>
    <t>Solde Compte Provision :</t>
  </si>
  <si>
    <t>Détail de vos paiements</t>
  </si>
  <si>
    <t>Versemment</t>
  </si>
  <si>
    <t>Liste de Présence</t>
  </si>
  <si>
    <t>Exercice clos dépenses votées</t>
  </si>
  <si>
    <t>Total travaux</t>
  </si>
  <si>
    <t>Exercice clos buget voté</t>
  </si>
  <si>
    <t xml:space="preserve">Double Majorité </t>
  </si>
  <si>
    <t>Nombre total de voix disponible</t>
  </si>
  <si>
    <t>Annexe3-page4  :</t>
  </si>
  <si>
    <t>66 Charges financières des emprunts, agios</t>
  </si>
  <si>
    <t>Emargement</t>
  </si>
  <si>
    <t>Charges spéciales 1</t>
  </si>
  <si>
    <t>Charges spéciales 2</t>
  </si>
  <si>
    <t>Travaux votés</t>
  </si>
  <si>
    <t>Pour le bon fonctionnement de notre Syndic, nous vous remercions de procéder au paiement</t>
  </si>
  <si>
    <t>Total travaux et opé. Except.</t>
  </si>
  <si>
    <t>Opérations exceptionnelles</t>
  </si>
  <si>
    <t>Annexe n°5</t>
  </si>
  <si>
    <t>Remplir le formulaire prévu Lot concerné et vendeur, ainsi que les coordonnées du nouveau propriétaire dans le lot n°M</t>
  </si>
  <si>
    <t>incombant au lot n°2 pour le 2ème Trimestre, s'éléve à :</t>
  </si>
  <si>
    <t>Nouveau Propriétaire</t>
  </si>
  <si>
    <t>Suivi Budget Prévisionnel</t>
  </si>
  <si>
    <t>Objet :</t>
  </si>
  <si>
    <t>Bilan Annuel</t>
  </si>
  <si>
    <t>Trimestriel</t>
  </si>
  <si>
    <t>Charges d'escalier</t>
  </si>
  <si>
    <t>incombant au lot n°3 pour le 2ème Trimestre, s'éléve à :</t>
  </si>
  <si>
    <t>671 Travaux décidés par l'AG</t>
  </si>
  <si>
    <t>Provisions  appelées</t>
  </si>
  <si>
    <t>CHARGES POUR TRAVAUX, AUTRES OPERATIONS EXCEPTIONNELLES</t>
  </si>
  <si>
    <t>incombant au lot n°M pour le 4ème Trimestre, s'éléve à :</t>
  </si>
  <si>
    <t>Compte Lot n°1</t>
  </si>
  <si>
    <t>Propriétaires</t>
  </si>
  <si>
    <t>Tel</t>
  </si>
  <si>
    <t>Ville</t>
  </si>
  <si>
    <t>°Sa ventilation pour le type de charge ou de produit à l'aide du menu déroulant (Générale, Escalier, … ou Lot n°x, …),</t>
  </si>
  <si>
    <t>Charge1</t>
  </si>
  <si>
    <t>incombant au lot n°5 pour le 1er Semestre, s'éléve à :</t>
  </si>
  <si>
    <t>Lot n°1 :</t>
  </si>
  <si>
    <t>45 Copropriétaires - Sommes exigibles restant à recevoir</t>
  </si>
  <si>
    <t>ET</t>
  </si>
  <si>
    <t>702 Provisions pour travaux</t>
  </si>
  <si>
    <t>Vote9</t>
  </si>
  <si>
    <t>Vote10</t>
  </si>
  <si>
    <t>Mai</t>
  </si>
  <si>
    <t>Annexe2-page 3 :</t>
  </si>
  <si>
    <t>Estimation des charges restant à prélévé sur l'exercice</t>
  </si>
  <si>
    <t>Budget prévisionnel à voter</t>
  </si>
  <si>
    <t>incombant au lot n°M pour le 2ème Semestre, s'éléve à :</t>
  </si>
  <si>
    <t>incombant au lot n°5 pour le 4ème Trimestre, s'éléve à :</t>
  </si>
  <si>
    <t>Février</t>
  </si>
  <si>
    <t>Avril</t>
  </si>
  <si>
    <t>Lot/description</t>
  </si>
  <si>
    <t>Vers Débit</t>
  </si>
  <si>
    <t>incombant au lot n°1 pour le 4ème Trimestre, s'éléve à :</t>
  </si>
  <si>
    <t>Date</t>
  </si>
  <si>
    <t>Onglet Livre de Compte :</t>
  </si>
  <si>
    <r>
      <t></t>
    </r>
    <r>
      <rPr>
        <sz val="12"/>
        <rFont val="Verdana"/>
        <family val="2"/>
      </rPr>
      <t xml:space="preserve"> </t>
    </r>
    <r>
      <rPr>
        <sz val="12"/>
        <rFont val="Arial"/>
        <family val="2"/>
      </rPr>
      <t>Frais Administratifs et de Gestion</t>
    </r>
  </si>
  <si>
    <t>Compte Travaux:</t>
  </si>
  <si>
    <t>Charges communes générales</t>
  </si>
  <si>
    <t>Ces formulaires prêts à imprimés sont mis à jour automatiquement pour être envoyés régulièrement aux copropriétaires</t>
  </si>
  <si>
    <t>Somme versé pendant l'exercice (y compris solde Exercice N-1)</t>
  </si>
  <si>
    <t>incombant au lot n°2 pour le 1er Trimestre, s'éléve à :</t>
  </si>
  <si>
    <t>Lot n°4</t>
  </si>
  <si>
    <t>incombant au lot n°2 pour le 3ème Trimestre, s'éléve à :</t>
  </si>
  <si>
    <t>Avances de trésorerie</t>
  </si>
  <si>
    <t>Escaliers</t>
  </si>
  <si>
    <t>Nom</t>
  </si>
  <si>
    <t>Opération</t>
  </si>
  <si>
    <t>Compte Lot n°5</t>
  </si>
  <si>
    <t>Présents</t>
  </si>
  <si>
    <t>Majorité Simple</t>
  </si>
  <si>
    <t>Majorité Absolue</t>
  </si>
  <si>
    <t>704 Rembourcement d'emprunt</t>
  </si>
  <si>
    <t>53 Caisse</t>
  </si>
  <si>
    <t>Majorité absolue</t>
  </si>
  <si>
    <t>Hunanimité</t>
  </si>
  <si>
    <t>majorité des voix de tous soit 501</t>
  </si>
  <si>
    <t>Tableau de Copropriété et le cas échéant le Tableau de Mutation (2 pages)</t>
  </si>
  <si>
    <t>Vous trouverez ci-dessous l'état de votre compte de copropriété, ainsi que l'estimation des</t>
  </si>
  <si>
    <t>Cordialement</t>
  </si>
  <si>
    <t>1er trimestre</t>
  </si>
  <si>
    <t>Total</t>
  </si>
  <si>
    <t>Montant</t>
  </si>
  <si>
    <t>Banque</t>
  </si>
  <si>
    <t>Réserve</t>
  </si>
  <si>
    <t>Tréso</t>
  </si>
  <si>
    <t>Soldes des comptes</t>
  </si>
  <si>
    <t>Part locataires des charges d'escalier</t>
  </si>
  <si>
    <t>Loca.</t>
  </si>
  <si>
    <t>Solde de votre Compte Copropriétaire</t>
  </si>
  <si>
    <t>Annexe n°2/2</t>
  </si>
  <si>
    <t>page 4</t>
  </si>
  <si>
    <t>page 3</t>
  </si>
  <si>
    <t>page 5</t>
  </si>
  <si>
    <t>page 6</t>
  </si>
  <si>
    <t>incombant au lot n°M pour le 1er Semestre, s'éléve à :</t>
  </si>
  <si>
    <t>Relevé de situation</t>
  </si>
  <si>
    <t>1er Trimestre</t>
  </si>
  <si>
    <t>Appels de Fonds</t>
  </si>
  <si>
    <t>Liste Fond</t>
  </si>
  <si>
    <t>63 Impôts - taxes et versements assimilés</t>
  </si>
  <si>
    <t>Le compte de charges "eau" n'est pas pré remplie sur cette version par le tableau de l'onglet "charges spéciales", vous pouvez remplir directement cette charges par vos données et votre mode de ventilation.</t>
  </si>
  <si>
    <t>Subventions et emprunts à recevoir</t>
  </si>
  <si>
    <t>50 Fonds Placés</t>
  </si>
  <si>
    <t>Total opérations except.</t>
  </si>
  <si>
    <t>Ancien Propriétaire</t>
  </si>
  <si>
    <t>majorité des voix exprimées des présents</t>
  </si>
  <si>
    <t>incombant au lot n°1 pour le 2ème Semestre, s'éléve à :</t>
  </si>
  <si>
    <t>Ventillation des versements</t>
  </si>
  <si>
    <t>incombant au lot n°2 pour le 2ème Semestre, s'éléve à :</t>
  </si>
  <si>
    <t>incombant au lot n°M pour le 2ème Trimestre, s'éléve à :</t>
  </si>
  <si>
    <t>Date de réception :</t>
  </si>
  <si>
    <t>Charges Travaux:</t>
  </si>
  <si>
    <t>712 Emprunts</t>
  </si>
  <si>
    <t>Lot n°5 :</t>
  </si>
  <si>
    <t>Cpte Crédit</t>
  </si>
  <si>
    <t>Annexe n°3</t>
  </si>
  <si>
    <t>78 Reprises de dépréciations sur créance</t>
  </si>
  <si>
    <t>Total des Charges Générales</t>
  </si>
  <si>
    <t>Entrée la date de l'appel de fond</t>
  </si>
  <si>
    <t>incombant au lot n°1 pour le 1er Trimestre, s'éléve à :</t>
  </si>
  <si>
    <t>Solde insuffisance</t>
  </si>
  <si>
    <t>Annexe n°2/1</t>
  </si>
  <si>
    <r>
      <t></t>
    </r>
    <r>
      <rPr>
        <sz val="12"/>
        <rFont val="Verdana"/>
        <family val="2"/>
      </rPr>
      <t xml:space="preserve"> </t>
    </r>
    <r>
      <rPr>
        <sz val="12"/>
        <rFont val="Arial"/>
        <family val="2"/>
      </rPr>
      <t>Travaux</t>
    </r>
  </si>
  <si>
    <t>Total Compte Travaux</t>
  </si>
  <si>
    <t>En début d'exercice remplir correctement chaque libellé des copropriétaires (description et situation du lot, nom et adresse de correspondance).</t>
  </si>
  <si>
    <t>Total Charges Eau</t>
  </si>
  <si>
    <t>En fin de mois vous pouvez afin de valider les opérations et éviter des erreurs d'écriture barrer les lignes non utilisées. Pour cela ôter temporairement la protection de la feuille si vous souhaitez le faire à partir d'un trait dessin.</t>
  </si>
  <si>
    <t>incombant au lot n°5 pour le 1er Trimestre, s'éléve à :</t>
  </si>
  <si>
    <t>Charges Générales :</t>
  </si>
  <si>
    <t>Onglet Comptes Lots :</t>
  </si>
  <si>
    <t>Janvier</t>
  </si>
  <si>
    <t>Total charges nettes</t>
  </si>
  <si>
    <t>Provisions copropriété</t>
  </si>
  <si>
    <t>Annexe n°4</t>
  </si>
  <si>
    <t>TRAVAUX DE L'ART.14-2 ET OPÉRATION  EXECPTIONNELLES HORS BUDGET PRÉVISIONNEL</t>
  </si>
  <si>
    <t>Compte Lot n°2</t>
  </si>
  <si>
    <t>Compte Lot n°3</t>
  </si>
  <si>
    <t>°Pour les dépenses la répartition entre dépenses imputables aux propriétaires ou à leurs locataires</t>
  </si>
  <si>
    <t>Vote16</t>
  </si>
  <si>
    <r>
      <t></t>
    </r>
    <r>
      <rPr>
        <sz val="12"/>
        <rFont val="Verdana"/>
        <family val="2"/>
      </rPr>
      <t xml:space="preserve"> </t>
    </r>
    <r>
      <rPr>
        <sz val="12"/>
        <rFont val="Arial"/>
        <family val="2"/>
      </rPr>
      <t>Emprunt</t>
    </r>
  </si>
  <si>
    <t>incombant au lot n°1 pour le 2ème Trimestre, s'éléve à :</t>
  </si>
  <si>
    <t>Créances</t>
  </si>
  <si>
    <t>Vote19</t>
  </si>
  <si>
    <t>incombant au lot n°4 pour le 4ème Trimestre, s'éléve à :</t>
  </si>
  <si>
    <t>Livre de Compte 3 pages par trimestre numérotées de 1 à 12 (12 pages)</t>
  </si>
  <si>
    <t>Total de cette appel de fond :</t>
  </si>
  <si>
    <t>Le livre de compte est prévu pour enregistrer 9 opérations par mois</t>
  </si>
  <si>
    <t>Date de la mutation :</t>
  </si>
  <si>
    <t>Comptes de chaque lot (5 ou 6 pages si mutation)</t>
  </si>
  <si>
    <t>Travaux réalisés</t>
  </si>
  <si>
    <t>Solde de votre Compte Provision</t>
  </si>
  <si>
    <t>Provision</t>
  </si>
  <si>
    <t>Solde N-1</t>
  </si>
  <si>
    <t>64 Frais de personnel</t>
  </si>
  <si>
    <t>Mars</t>
  </si>
  <si>
    <t>Le Lot n°M est un compte temporaire spécial permettant une mutation en cours d'exercice.</t>
  </si>
  <si>
    <t>Notaire :</t>
  </si>
  <si>
    <t>Liste Mode</t>
  </si>
  <si>
    <t>Remplir les reports des produits de l'exercice précédent.</t>
  </si>
  <si>
    <t>Vers Credit</t>
  </si>
  <si>
    <t>Adresse</t>
  </si>
  <si>
    <t>Dettes</t>
  </si>
  <si>
    <t>Emprunts :</t>
  </si>
  <si>
    <t>Montant restant dû</t>
  </si>
  <si>
    <t>incombant au lot n°M pour le 1er Trimestre, s'éléve à :</t>
  </si>
  <si>
    <t>1er Tri</t>
  </si>
  <si>
    <t>2ème Tri</t>
  </si>
  <si>
    <t>4ème tri</t>
  </si>
  <si>
    <t>Compte Lot n°4</t>
  </si>
  <si>
    <t>Lot n°2</t>
  </si>
  <si>
    <t>Dans l'exercice suivant remplacer définitivement le compte du vendeur (x) par le compte temporaire de l'acheteur (M)</t>
  </si>
  <si>
    <t>Repport soldes 3ème trimestre :</t>
  </si>
  <si>
    <t>Soldes</t>
  </si>
  <si>
    <t xml:space="preserve">Remplir la répartition des tantièmes conformément au règlement de copropriété. </t>
  </si>
  <si>
    <t>Cas  d'une mutation :</t>
  </si>
  <si>
    <t>Charges</t>
  </si>
  <si>
    <t>Monsieur,</t>
  </si>
  <si>
    <t>Spéciales2</t>
  </si>
  <si>
    <t>Liste d'émargement</t>
  </si>
  <si>
    <t>Date :</t>
  </si>
  <si>
    <t>Spéciales1</t>
  </si>
  <si>
    <t>61 Services extérieurs</t>
  </si>
  <si>
    <t>Dépenses</t>
  </si>
  <si>
    <t>Dans ce fichier excel, sauf cas exceptionnel seul les cases jaunes doivent être remplies.</t>
  </si>
  <si>
    <t>incombant au lot n°2 pour le 4ème Trimestre, s'éléve à :</t>
  </si>
  <si>
    <t>Annexe2-page 2 :</t>
  </si>
  <si>
    <t>Mettre à jour les années.</t>
  </si>
  <si>
    <t>Total Charge Spéciale 2</t>
  </si>
  <si>
    <t>Lot n°4 :</t>
  </si>
  <si>
    <t>Cher Copropriétaire,</t>
  </si>
  <si>
    <r>
      <t></t>
    </r>
    <r>
      <rPr>
        <sz val="12"/>
        <rFont val="Verdana"/>
        <family val="2"/>
      </rPr>
      <t xml:space="preserve"> </t>
    </r>
    <r>
      <rPr>
        <sz val="12"/>
        <rFont val="Arial"/>
        <family val="2"/>
      </rPr>
      <t>Travaux d'entretien</t>
    </r>
  </si>
  <si>
    <t>Mutation de Copropriété</t>
  </si>
  <si>
    <t>Produits:</t>
  </si>
  <si>
    <t>Faire la modification nécessaire dans les comptes lots du lot vendu et du Lot n°M :</t>
  </si>
  <si>
    <r>
      <t></t>
    </r>
    <r>
      <rPr>
        <sz val="12"/>
        <rFont val="Verdana"/>
        <family val="2"/>
      </rPr>
      <t xml:space="preserve"> </t>
    </r>
    <r>
      <rPr>
        <sz val="12"/>
        <rFont val="Arial"/>
        <family val="2"/>
      </rPr>
      <t>Abonnement Eau</t>
    </r>
  </si>
  <si>
    <t>Charges Eau :</t>
  </si>
  <si>
    <t>(Charge eau en m3)</t>
  </si>
  <si>
    <t>incombant au lot n°4 pour le 2ème Semestre, s'éléve à :</t>
  </si>
  <si>
    <t>Solde du Compte :</t>
  </si>
  <si>
    <t>Livre de Compte</t>
  </si>
  <si>
    <t>Solde</t>
  </si>
  <si>
    <t>Les répartir en fonction de leurs types de charges et du compte comptable (liste déroulante).</t>
  </si>
  <si>
    <t>toutes les voix soit 1000</t>
  </si>
  <si>
    <t>Générales</t>
  </si>
  <si>
    <r>
      <t></t>
    </r>
    <r>
      <rPr>
        <sz val="12"/>
        <rFont val="Verdana"/>
        <family val="2"/>
      </rPr>
      <t xml:space="preserve"> </t>
    </r>
    <r>
      <rPr>
        <sz val="12"/>
        <rFont val="Arial"/>
        <family val="2"/>
      </rPr>
      <t>Provision sur travaux</t>
    </r>
  </si>
  <si>
    <t>Compte Lot n°M</t>
  </si>
  <si>
    <t>68 Dotations aux dépréciations sur créances douteuses</t>
  </si>
  <si>
    <t>#</t>
  </si>
  <si>
    <t>incombant au lot n°3 pour le 3ème Trimestre, s'éléve à :</t>
  </si>
  <si>
    <t>incombant au lot n°2 pour le 1er Semestre, s'éléve à :</t>
  </si>
  <si>
    <t>Appels</t>
  </si>
  <si>
    <t>incombant au lot n°3 pour le 1er Semestre, s'éléve à :</t>
  </si>
  <si>
    <t>Versement</t>
  </si>
  <si>
    <t>Edition des documents en fin d'exercice (en PDF)</t>
  </si>
  <si>
    <t>Eau</t>
  </si>
  <si>
    <t>Lots/descriptions</t>
  </si>
  <si>
    <t>(excédent sur opérations courantes affecté aux copropriétaires)</t>
  </si>
  <si>
    <t>Liste Tantième</t>
  </si>
  <si>
    <t>Nombres de voix Pour</t>
  </si>
  <si>
    <t>Vote2</t>
  </si>
  <si>
    <t>Vote3</t>
  </si>
  <si>
    <t>Vote4</t>
  </si>
  <si>
    <t>Vote5</t>
  </si>
  <si>
    <t>Vote6</t>
  </si>
  <si>
    <t>TRESORERIE</t>
  </si>
  <si>
    <t>incombant au lot n°M pour le 3ème Trimestre, s'éléve à :</t>
  </si>
  <si>
    <t>Exercice 2015</t>
  </si>
  <si>
    <t>Etage : Appartement - Balcon</t>
  </si>
  <si>
    <t>Etage : Appartement</t>
  </si>
  <si>
    <t>Combles : Appartement - Balcon</t>
  </si>
  <si>
    <t>Lot n°6</t>
  </si>
  <si>
    <t>Lot n°7</t>
  </si>
  <si>
    <t>Compte Lot n°6</t>
  </si>
  <si>
    <t>Lot n°6 :</t>
  </si>
  <si>
    <t>Compte Lot n°7</t>
  </si>
  <si>
    <t>Lot n°7 :</t>
  </si>
  <si>
    <t>incombant au lot n°6 pour le 1er Trimestre, s'éléve à :</t>
  </si>
  <si>
    <t>incombant au lot n°6 pour le 2ème Trimestre, s'éléve à :</t>
  </si>
  <si>
    <t>incombant au lot n°6 pour le 1er Semestre, s'éléve à :</t>
  </si>
  <si>
    <t>incombant au lot n°6 pour le 3ème Trimestre, s'éléve à :</t>
  </si>
  <si>
    <t>incombant au lot n°6 pour le 4ème Trimestre, s'éléve à :</t>
  </si>
  <si>
    <t>incombant au lot n°6 pour le 2ème Semestre, s'éléve à :</t>
  </si>
  <si>
    <t>incombant au lot n°7 pour le 1er Trimestre, s'éléve à :</t>
  </si>
  <si>
    <t>incombant au lot n°7 pour le 2ème Trimestre, s'éléve à :</t>
  </si>
  <si>
    <t>incombant au lot n°7 pour le 1er Semestre, s'éléve à :</t>
  </si>
  <si>
    <t>incombant au lot n°7 pour le 3ème Trimestre, s'éléve à :</t>
  </si>
  <si>
    <t>incombant au lot n°7 pour le 4ème Trimestre, s'éléve à :</t>
  </si>
  <si>
    <t>incombant au lot n°7 pour le 2ème Semestre, s'éléve à :</t>
  </si>
  <si>
    <t xml:space="preserve">RDC : Local </t>
  </si>
  <si>
    <t>RDC : Garage</t>
  </si>
  <si>
    <t>RDC : Appartement - Jardin</t>
  </si>
  <si>
    <t>RDC :  Appartement - Jardin - Chaufferie</t>
  </si>
  <si>
    <t xml:space="preserve">           </t>
  </si>
  <si>
    <t>XXX, le</t>
  </si>
  <si>
    <t>ATCHOUM</t>
  </si>
  <si>
    <t>GRINCHEUX</t>
  </si>
  <si>
    <t>SIMPLET</t>
  </si>
  <si>
    <t>DORMEUR</t>
  </si>
  <si>
    <t>PROF</t>
  </si>
  <si>
    <t>TIMIDE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</si>
</sst>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quot; €&quot;;[Red]#,##0.00&quot; €&quot;"/>
    <numFmt numFmtId="181" formatCode="d/m"/>
    <numFmt numFmtId="182" formatCode="d/mm/yyyy"/>
    <numFmt numFmtId="183" formatCode="00000"/>
    <numFmt numFmtId="184" formatCode="0.000"/>
    <numFmt numFmtId="185" formatCode="0.0000"/>
    <numFmt numFmtId="186" formatCode="0.0"/>
    <numFmt numFmtId="187" formatCode="d\ mmmm\ yyyy"/>
    <numFmt numFmtId="188" formatCode="_-* #,##0.0&quot; €&quot;_-;\-* #,##0.0&quot; €&quot;_-;_-* &quot;-&quot;??&quot; €&quot;_-;_-@_-"/>
    <numFmt numFmtId="189" formatCode="0.000000000"/>
    <numFmt numFmtId="190" formatCode="0.00000000"/>
    <numFmt numFmtId="191" formatCode="0.0000000"/>
    <numFmt numFmtId="192" formatCode="0.000000"/>
    <numFmt numFmtId="193" formatCode="0.00000"/>
    <numFmt numFmtId="194" formatCode="#,##0.00\ &quot;€&quot;"/>
    <numFmt numFmtId="195" formatCode="#,##0.00\ &quot;€&quot;;[Red]#,##0.00\ &quot;€&quot;"/>
    <numFmt numFmtId="196" formatCode="&quot;Vrai&quot;;&quot;Vrai&quot;;&quot;Faux&quot;"/>
    <numFmt numFmtId="197" formatCode="&quot;Actif&quot;;&quot;Actif&quot;;&quot;Inactif&quot;"/>
    <numFmt numFmtId="198" formatCode="[$€-2]\ #,##0.00_);[Red]\([$€-2]\ #,##0.00\)"/>
    <numFmt numFmtId="199" formatCode="#,##0.00;[Red]#,##0.00"/>
  </numFmts>
  <fonts count="65">
    <font>
      <sz val="10"/>
      <name val="Arial"/>
      <family val="0"/>
    </font>
    <font>
      <b/>
      <sz val="10"/>
      <name val="Arial"/>
      <family val="2"/>
    </font>
    <font>
      <u val="single"/>
      <sz val="12"/>
      <color indexed="12"/>
      <name val="Arial"/>
      <family val="2"/>
    </font>
    <font>
      <u val="single"/>
      <sz val="12"/>
      <color indexed="61"/>
      <name val="Arial"/>
      <family val="2"/>
    </font>
    <font>
      <b/>
      <sz val="14"/>
      <name val="Arial"/>
      <family val="2"/>
    </font>
    <font>
      <b/>
      <sz val="12"/>
      <name val="Arial"/>
      <family val="2"/>
    </font>
    <font>
      <sz val="12"/>
      <name val="Arial"/>
      <family val="2"/>
    </font>
    <font>
      <b/>
      <u val="single"/>
      <sz val="12"/>
      <name val="Arial"/>
      <family val="2"/>
    </font>
    <font>
      <b/>
      <sz val="9"/>
      <name val="Arial"/>
      <family val="2"/>
    </font>
    <font>
      <sz val="12"/>
      <name val="Zapf Dingbats"/>
      <family val="0"/>
    </font>
    <font>
      <sz val="12"/>
      <name val="Wingdings"/>
      <family val="0"/>
    </font>
    <font>
      <sz val="12"/>
      <name val="Verdana"/>
      <family val="2"/>
    </font>
    <font>
      <b/>
      <sz val="11"/>
      <name val="Arial"/>
      <family val="2"/>
    </font>
    <font>
      <sz val="8"/>
      <name val="Arial"/>
      <family val="2"/>
    </font>
    <font>
      <sz val="8"/>
      <name val="Verdana"/>
      <family val="2"/>
    </font>
    <font>
      <b/>
      <sz val="36"/>
      <color indexed="23"/>
      <name val="Lucida Grande"/>
      <family val="0"/>
    </font>
    <font>
      <u val="single"/>
      <sz val="12"/>
      <name val="Arial"/>
      <family val="2"/>
    </font>
    <font>
      <i/>
      <sz val="12"/>
      <name val="Arial"/>
      <family val="2"/>
    </font>
    <font>
      <i/>
      <sz val="10"/>
      <name val="Arial"/>
      <family val="2"/>
    </font>
    <font>
      <b/>
      <i/>
      <sz val="10"/>
      <name val="Arial"/>
      <family val="2"/>
    </font>
    <font>
      <sz val="11"/>
      <name val="Arial"/>
      <family val="2"/>
    </font>
    <font>
      <sz val="11"/>
      <color indexed="9"/>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0"/>
      <name val="Arial"/>
      <family val="2"/>
    </font>
    <font>
      <sz val="10"/>
      <color indexed="10"/>
      <name val="Arial"/>
      <family val="2"/>
    </font>
    <font>
      <sz val="10"/>
      <color indexed="9"/>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sz val="10"/>
      <color rgb="FFFF0000"/>
      <name val="Arial"/>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4"/>
        <bgColor indexed="64"/>
      </patternFill>
    </fill>
    <fill>
      <patternFill patternType="solid">
        <fgColor rgb="FFFFFF9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49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xf>
    <xf numFmtId="0" fontId="1" fillId="0" borderId="0" xfId="0" applyFont="1" applyBorder="1"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5" fillId="0" borderId="15" xfId="0" applyFont="1" applyBorder="1" applyAlignment="1">
      <alignment horizontal="center"/>
    </xf>
    <xf numFmtId="0" fontId="6" fillId="0" borderId="16" xfId="0" applyFont="1" applyBorder="1" applyAlignment="1">
      <alignment/>
    </xf>
    <xf numFmtId="0" fontId="5" fillId="0" borderId="16" xfId="0" applyFont="1" applyBorder="1" applyAlignment="1">
      <alignment horizontal="center"/>
    </xf>
    <xf numFmtId="0" fontId="6" fillId="0" borderId="17" xfId="0" applyFont="1" applyBorder="1" applyAlignment="1">
      <alignment/>
    </xf>
    <xf numFmtId="0" fontId="6" fillId="0" borderId="15" xfId="0" applyFont="1" applyBorder="1" applyAlignment="1">
      <alignment/>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xf>
    <xf numFmtId="0" fontId="6" fillId="0" borderId="20" xfId="0" applyFont="1" applyBorder="1" applyAlignment="1">
      <alignment wrapText="1"/>
    </xf>
    <xf numFmtId="0" fontId="6" fillId="0" borderId="20" xfId="0" applyFont="1" applyBorder="1" applyAlignment="1">
      <alignment/>
    </xf>
    <xf numFmtId="0" fontId="6" fillId="0" borderId="21" xfId="0" applyFont="1" applyBorder="1" applyAlignment="1">
      <alignment/>
    </xf>
    <xf numFmtId="0" fontId="6" fillId="0" borderId="10" xfId="0" applyFont="1" applyBorder="1" applyAlignment="1">
      <alignment/>
    </xf>
    <xf numFmtId="0" fontId="6" fillId="0" borderId="22" xfId="0" applyFont="1" applyBorder="1" applyAlignment="1">
      <alignment/>
    </xf>
    <xf numFmtId="0" fontId="6" fillId="0" borderId="11" xfId="0" applyFont="1" applyBorder="1" applyAlignment="1">
      <alignment/>
    </xf>
    <xf numFmtId="0" fontId="6" fillId="0" borderId="23"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19" xfId="0" applyFont="1" applyBorder="1" applyAlignment="1">
      <alignment/>
    </xf>
    <xf numFmtId="0" fontId="5" fillId="0" borderId="15" xfId="0" applyFont="1" applyBorder="1" applyAlignment="1">
      <alignment/>
    </xf>
    <xf numFmtId="0" fontId="4" fillId="0" borderId="0" xfId="0" applyFont="1" applyAlignment="1">
      <alignment horizontal="right"/>
    </xf>
    <xf numFmtId="0" fontId="5" fillId="0" borderId="18" xfId="0" applyFont="1" applyBorder="1" applyAlignment="1">
      <alignment/>
    </xf>
    <xf numFmtId="0" fontId="5" fillId="0" borderId="18" xfId="0" applyFont="1" applyFill="1" applyBorder="1" applyAlignment="1">
      <alignment horizontal="center"/>
    </xf>
    <xf numFmtId="0" fontId="5" fillId="0" borderId="21" xfId="0" applyFont="1" applyBorder="1" applyAlignment="1">
      <alignment horizontal="center"/>
    </xf>
    <xf numFmtId="180" fontId="6" fillId="0" borderId="18" xfId="0" applyNumberFormat="1" applyFont="1" applyBorder="1" applyAlignment="1">
      <alignment/>
    </xf>
    <xf numFmtId="0" fontId="7" fillId="0" borderId="0" xfId="0" applyFont="1" applyAlignment="1">
      <alignment/>
    </xf>
    <xf numFmtId="180" fontId="5" fillId="0" borderId="0" xfId="0" applyNumberFormat="1" applyFont="1" applyAlignment="1">
      <alignment/>
    </xf>
    <xf numFmtId="0" fontId="5" fillId="0" borderId="15" xfId="0" applyFont="1" applyBorder="1" applyAlignment="1">
      <alignment horizontal="left"/>
    </xf>
    <xf numFmtId="0" fontId="5" fillId="0" borderId="12" xfId="0" applyFont="1" applyBorder="1" applyAlignment="1">
      <alignment/>
    </xf>
    <xf numFmtId="180" fontId="6" fillId="0" borderId="18" xfId="0" applyNumberFormat="1" applyFont="1" applyBorder="1" applyAlignment="1" applyProtection="1">
      <alignment/>
      <protection/>
    </xf>
    <xf numFmtId="180" fontId="6" fillId="0" borderId="15" xfId="0" applyNumberFormat="1" applyFont="1" applyBorder="1" applyAlignment="1" applyProtection="1">
      <alignment/>
      <protection/>
    </xf>
    <xf numFmtId="0" fontId="5" fillId="0" borderId="11" xfId="0" applyFont="1" applyBorder="1" applyAlignment="1">
      <alignment horizontal="center"/>
    </xf>
    <xf numFmtId="0" fontId="5" fillId="0" borderId="18" xfId="0" applyFont="1" applyBorder="1" applyAlignment="1">
      <alignment horizontal="lef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5" fillId="0" borderId="20" xfId="0" applyFont="1" applyBorder="1" applyAlignment="1">
      <alignment horizontal="center"/>
    </xf>
    <xf numFmtId="180" fontId="6" fillId="0" borderId="12" xfId="0" applyNumberFormat="1" applyFont="1" applyBorder="1" applyAlignment="1" applyProtection="1">
      <alignment/>
      <protection/>
    </xf>
    <xf numFmtId="0" fontId="6" fillId="0" borderId="0" xfId="0" applyFont="1" applyFill="1" applyBorder="1" applyAlignment="1">
      <alignment/>
    </xf>
    <xf numFmtId="0" fontId="0" fillId="0" borderId="0" xfId="0" applyFill="1" applyBorder="1" applyAlignment="1">
      <alignment/>
    </xf>
    <xf numFmtId="0" fontId="5" fillId="0" borderId="11" xfId="0" applyFont="1" applyFill="1" applyBorder="1" applyAlignment="1">
      <alignment horizontal="center"/>
    </xf>
    <xf numFmtId="0" fontId="6" fillId="0" borderId="11" xfId="0" applyFont="1" applyFill="1" applyBorder="1" applyAlignment="1">
      <alignment/>
    </xf>
    <xf numFmtId="0" fontId="5" fillId="0" borderId="0" xfId="0" applyFont="1" applyAlignment="1">
      <alignment horizontal="right"/>
    </xf>
    <xf numFmtId="0" fontId="6" fillId="0" borderId="0" xfId="0" applyFont="1" applyBorder="1" applyAlignment="1">
      <alignment/>
    </xf>
    <xf numFmtId="0" fontId="6" fillId="0" borderId="24" xfId="0" applyFont="1" applyBorder="1" applyAlignment="1">
      <alignment/>
    </xf>
    <xf numFmtId="0" fontId="6" fillId="0" borderId="13" xfId="0" applyFont="1" applyBorder="1" applyAlignment="1">
      <alignment/>
    </xf>
    <xf numFmtId="0" fontId="5" fillId="0" borderId="13" xfId="0" applyFont="1" applyBorder="1" applyAlignment="1">
      <alignment/>
    </xf>
    <xf numFmtId="0" fontId="5" fillId="0" borderId="12" xfId="0" applyFont="1" applyBorder="1" applyAlignment="1">
      <alignment horizontal="center"/>
    </xf>
    <xf numFmtId="180" fontId="6" fillId="0" borderId="18" xfId="0" applyNumberFormat="1" applyFont="1" applyFill="1" applyBorder="1" applyAlignment="1">
      <alignment/>
    </xf>
    <xf numFmtId="180" fontId="6" fillId="0" borderId="15" xfId="0" applyNumberFormat="1" applyFont="1" applyFill="1" applyBorder="1" applyAlignment="1">
      <alignment/>
    </xf>
    <xf numFmtId="0" fontId="5" fillId="0" borderId="0" xfId="0" applyFont="1" applyAlignment="1">
      <alignment horizontal="left"/>
    </xf>
    <xf numFmtId="180" fontId="5" fillId="0" borderId="0" xfId="0" applyNumberFormat="1" applyFont="1" applyFill="1" applyBorder="1" applyAlignment="1">
      <alignment/>
    </xf>
    <xf numFmtId="180" fontId="6" fillId="0" borderId="0" xfId="0" applyNumberFormat="1" applyFont="1" applyFill="1" applyBorder="1" applyAlignment="1" applyProtection="1">
      <alignment/>
      <protection/>
    </xf>
    <xf numFmtId="0" fontId="6" fillId="0" borderId="0" xfId="0" applyFont="1" applyAlignment="1">
      <alignment horizontal="right"/>
    </xf>
    <xf numFmtId="0" fontId="6" fillId="0" borderId="0" xfId="0" applyFont="1" applyBorder="1" applyAlignment="1">
      <alignment wrapText="1"/>
    </xf>
    <xf numFmtId="0" fontId="6" fillId="34" borderId="0" xfId="0" applyFont="1" applyFill="1" applyAlignment="1">
      <alignment/>
    </xf>
    <xf numFmtId="180" fontId="5" fillId="0" borderId="18" xfId="0" applyNumberFormat="1" applyFont="1" applyFill="1" applyBorder="1" applyAlignment="1">
      <alignment/>
    </xf>
    <xf numFmtId="0" fontId="4" fillId="0" borderId="0" xfId="0" applyFont="1" applyAlignment="1">
      <alignment horizontal="center"/>
    </xf>
    <xf numFmtId="180" fontId="6" fillId="0" borderId="0" xfId="0" applyNumberFormat="1" applyFont="1" applyAlignment="1">
      <alignment/>
    </xf>
    <xf numFmtId="180" fontId="6" fillId="0" borderId="22" xfId="0" applyNumberFormat="1" applyFont="1" applyBorder="1" applyAlignment="1">
      <alignment/>
    </xf>
    <xf numFmtId="180" fontId="6" fillId="0" borderId="23" xfId="0" applyNumberFormat="1" applyFont="1" applyBorder="1" applyAlignment="1">
      <alignment/>
    </xf>
    <xf numFmtId="180" fontId="6" fillId="0" borderId="14" xfId="0" applyNumberFormat="1" applyFont="1" applyBorder="1" applyAlignment="1">
      <alignment/>
    </xf>
    <xf numFmtId="0" fontId="10" fillId="0" borderId="11" xfId="0" applyFont="1" applyBorder="1" applyAlignment="1">
      <alignment horizontal="left" indent="2"/>
    </xf>
    <xf numFmtId="0" fontId="10" fillId="0" borderId="10" xfId="0" applyFont="1" applyBorder="1" applyAlignment="1">
      <alignment horizontal="left" indent="2"/>
    </xf>
    <xf numFmtId="0" fontId="6" fillId="0" borderId="10" xfId="0" applyFont="1" applyBorder="1" applyAlignment="1">
      <alignment horizontal="left" indent="2"/>
    </xf>
    <xf numFmtId="0" fontId="5" fillId="0" borderId="0" xfId="0" applyFont="1" applyBorder="1" applyAlignment="1">
      <alignment/>
    </xf>
    <xf numFmtId="180" fontId="6" fillId="0" borderId="0" xfId="0" applyNumberFormat="1" applyFont="1" applyBorder="1" applyAlignment="1">
      <alignment/>
    </xf>
    <xf numFmtId="0" fontId="6" fillId="0" borderId="12" xfId="0" applyFont="1" applyBorder="1" applyAlignment="1">
      <alignment horizontal="left" indent="2"/>
    </xf>
    <xf numFmtId="0" fontId="10" fillId="0" borderId="12" xfId="0" applyFont="1" applyBorder="1" applyAlignment="1">
      <alignment horizontal="left" indent="2"/>
    </xf>
    <xf numFmtId="180" fontId="5" fillId="0" borderId="22" xfId="0" applyNumberFormat="1" applyFont="1" applyBorder="1" applyAlignment="1">
      <alignment horizontal="center"/>
    </xf>
    <xf numFmtId="180" fontId="6" fillId="0" borderId="19" xfId="0" applyNumberFormat="1" applyFont="1" applyBorder="1" applyAlignment="1">
      <alignment/>
    </xf>
    <xf numFmtId="180" fontId="6" fillId="0" borderId="20" xfId="0" applyNumberFormat="1" applyFont="1" applyBorder="1" applyAlignment="1">
      <alignment/>
    </xf>
    <xf numFmtId="180" fontId="6" fillId="0" borderId="21" xfId="0" applyNumberFormat="1" applyFont="1" applyBorder="1" applyAlignment="1">
      <alignment/>
    </xf>
    <xf numFmtId="180" fontId="5" fillId="0" borderId="17" xfId="0" applyNumberFormat="1" applyFont="1" applyBorder="1" applyAlignment="1">
      <alignment/>
    </xf>
    <xf numFmtId="180" fontId="5" fillId="0" borderId="14" xfId="0" applyNumberFormat="1" applyFont="1" applyBorder="1" applyAlignment="1">
      <alignment/>
    </xf>
    <xf numFmtId="0" fontId="6" fillId="0" borderId="18" xfId="0" applyFont="1" applyBorder="1" applyAlignment="1">
      <alignment/>
    </xf>
    <xf numFmtId="180" fontId="5" fillId="0" borderId="18" xfId="0" applyNumberFormat="1" applyFont="1" applyBorder="1" applyAlignment="1">
      <alignment/>
    </xf>
    <xf numFmtId="0" fontId="6" fillId="0" borderId="21" xfId="0" applyFont="1" applyFill="1" applyBorder="1" applyAlignment="1">
      <alignment/>
    </xf>
    <xf numFmtId="0" fontId="6" fillId="0" borderId="19" xfId="0" applyFont="1" applyFill="1" applyBorder="1" applyAlignment="1">
      <alignment/>
    </xf>
    <xf numFmtId="0" fontId="0" fillId="0" borderId="19" xfId="0" applyBorder="1" applyAlignment="1">
      <alignment/>
    </xf>
    <xf numFmtId="0" fontId="0" fillId="0" borderId="16" xfId="0" applyBorder="1" applyAlignment="1">
      <alignment/>
    </xf>
    <xf numFmtId="0" fontId="0" fillId="0" borderId="18" xfId="0" applyBorder="1" applyAlignment="1">
      <alignment/>
    </xf>
    <xf numFmtId="0" fontId="0" fillId="0" borderId="15" xfId="0" applyBorder="1" applyAlignment="1">
      <alignment/>
    </xf>
    <xf numFmtId="0" fontId="0" fillId="0" borderId="17" xfId="0" applyBorder="1" applyAlignment="1">
      <alignment/>
    </xf>
    <xf numFmtId="0" fontId="0" fillId="0" borderId="21" xfId="0" applyBorder="1" applyAlignment="1">
      <alignment/>
    </xf>
    <xf numFmtId="1" fontId="6" fillId="0" borderId="19" xfId="0" applyNumberFormat="1" applyFont="1" applyFill="1" applyBorder="1" applyAlignment="1">
      <alignment/>
    </xf>
    <xf numFmtId="0" fontId="6" fillId="0" borderId="20" xfId="0" applyFont="1" applyFill="1" applyBorder="1" applyAlignment="1">
      <alignment/>
    </xf>
    <xf numFmtId="0" fontId="0" fillId="0" borderId="0" xfId="0" applyAlignment="1">
      <alignment horizontal="right"/>
    </xf>
    <xf numFmtId="0" fontId="0" fillId="0" borderId="19" xfId="0" applyBorder="1" applyAlignment="1">
      <alignment vertical="top" wrapText="1"/>
    </xf>
    <xf numFmtId="0" fontId="0" fillId="0" borderId="20" xfId="0" applyBorder="1" applyAlignment="1">
      <alignment/>
    </xf>
    <xf numFmtId="0" fontId="0" fillId="0" borderId="20" xfId="0" applyBorder="1" applyAlignment="1">
      <alignment vertical="top" wrapText="1"/>
    </xf>
    <xf numFmtId="0" fontId="1" fillId="0" borderId="16" xfId="0" applyFont="1" applyBorder="1" applyAlignment="1">
      <alignment horizontal="center"/>
    </xf>
    <xf numFmtId="0" fontId="0" fillId="0" borderId="18" xfId="0" applyBorder="1" applyAlignment="1">
      <alignment vertical="top" wrapText="1"/>
    </xf>
    <xf numFmtId="0" fontId="1" fillId="0" borderId="16" xfId="0" applyFont="1" applyBorder="1" applyAlignment="1">
      <alignment/>
    </xf>
    <xf numFmtId="0" fontId="0" fillId="0" borderId="23" xfId="0" applyBorder="1" applyAlignment="1">
      <alignment vertical="top" wrapText="1"/>
    </xf>
    <xf numFmtId="0" fontId="0" fillId="0" borderId="22" xfId="0" applyBorder="1" applyAlignment="1">
      <alignment/>
    </xf>
    <xf numFmtId="0" fontId="0" fillId="0" borderId="23" xfId="0" applyBorder="1" applyAlignment="1">
      <alignment/>
    </xf>
    <xf numFmtId="0" fontId="0" fillId="0" borderId="14" xfId="0" applyBorder="1" applyAlignment="1">
      <alignment/>
    </xf>
    <xf numFmtId="0" fontId="0" fillId="0" borderId="22" xfId="0" applyBorder="1" applyAlignment="1">
      <alignment wrapText="1"/>
    </xf>
    <xf numFmtId="0" fontId="0" fillId="0" borderId="22" xfId="0" applyBorder="1" applyAlignment="1">
      <alignment vertical="top" wrapText="1"/>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8" xfId="0" applyFill="1" applyBorder="1" applyAlignment="1">
      <alignment horizontal="center"/>
    </xf>
    <xf numFmtId="0" fontId="0" fillId="0" borderId="18" xfId="0" applyFill="1" applyBorder="1" applyAlignment="1">
      <alignment vertical="top" wrapText="1"/>
    </xf>
    <xf numFmtId="0" fontId="0" fillId="0" borderId="10" xfId="0" applyBorder="1" applyAlignment="1">
      <alignment vertical="top" wrapText="1"/>
    </xf>
    <xf numFmtId="0" fontId="0" fillId="0" borderId="20" xfId="0" applyBorder="1" applyAlignment="1">
      <alignment horizontal="center"/>
    </xf>
    <xf numFmtId="0" fontId="12" fillId="0" borderId="0" xfId="0" applyFont="1" applyAlignment="1">
      <alignment horizontal="right"/>
    </xf>
    <xf numFmtId="0" fontId="12" fillId="0" borderId="0" xfId="0" applyFont="1" applyAlignment="1">
      <alignment/>
    </xf>
    <xf numFmtId="0" fontId="1" fillId="0" borderId="15" xfId="0" applyFont="1" applyBorder="1" applyAlignment="1">
      <alignment/>
    </xf>
    <xf numFmtId="0" fontId="1" fillId="0" borderId="11" xfId="0" applyFont="1" applyBorder="1" applyAlignment="1">
      <alignment/>
    </xf>
    <xf numFmtId="180" fontId="0" fillId="0" borderId="18" xfId="0" applyNumberFormat="1" applyBorder="1" applyAlignment="1">
      <alignment/>
    </xf>
    <xf numFmtId="0" fontId="0" fillId="0" borderId="11" xfId="0" applyFill="1" applyBorder="1" applyAlignment="1">
      <alignment vertical="top"/>
    </xf>
    <xf numFmtId="0" fontId="0" fillId="0" borderId="0" xfId="0" applyAlignment="1">
      <alignment vertical="top" wrapText="1"/>
    </xf>
    <xf numFmtId="0" fontId="0" fillId="0" borderId="16" xfId="0" applyBorder="1" applyAlignment="1">
      <alignment wrapText="1"/>
    </xf>
    <xf numFmtId="0" fontId="1" fillId="0" borderId="18" xfId="0" applyFont="1" applyBorder="1" applyAlignment="1">
      <alignment horizontal="left"/>
    </xf>
    <xf numFmtId="0" fontId="1" fillId="0" borderId="15" xfId="0" applyFont="1" applyBorder="1" applyAlignment="1">
      <alignment horizontal="left"/>
    </xf>
    <xf numFmtId="0" fontId="0" fillId="0" borderId="16" xfId="0" applyFont="1" applyBorder="1" applyAlignment="1">
      <alignment/>
    </xf>
    <xf numFmtId="0" fontId="1" fillId="0" borderId="18" xfId="0" applyFont="1" applyBorder="1" applyAlignment="1">
      <alignment horizontal="center"/>
    </xf>
    <xf numFmtId="0" fontId="1" fillId="0" borderId="15" xfId="0" applyFont="1" applyBorder="1" applyAlignment="1">
      <alignment horizontal="center"/>
    </xf>
    <xf numFmtId="0" fontId="1" fillId="0" borderId="18" xfId="0" applyFont="1" applyFill="1" applyBorder="1" applyAlignment="1">
      <alignment horizontal="center"/>
    </xf>
    <xf numFmtId="180" fontId="0" fillId="0" borderId="18" xfId="0" applyNumberFormat="1" applyFont="1" applyBorder="1" applyAlignment="1" applyProtection="1">
      <alignment/>
      <protection/>
    </xf>
    <xf numFmtId="180" fontId="0" fillId="0" borderId="15" xfId="0" applyNumberFormat="1" applyFont="1" applyBorder="1" applyAlignment="1" applyProtection="1">
      <alignment/>
      <protection/>
    </xf>
    <xf numFmtId="180" fontId="0" fillId="0" borderId="18" xfId="0" applyNumberFormat="1" applyFont="1" applyFill="1" applyBorder="1" applyAlignment="1">
      <alignment/>
    </xf>
    <xf numFmtId="180" fontId="0" fillId="0" borderId="15" xfId="0" applyNumberFormat="1" applyFont="1" applyFill="1" applyBorder="1" applyAlignment="1">
      <alignment/>
    </xf>
    <xf numFmtId="180" fontId="0" fillId="0" borderId="18" xfId="0" applyNumberFormat="1" applyFont="1" applyBorder="1" applyAlignment="1">
      <alignment/>
    </xf>
    <xf numFmtId="0" fontId="1" fillId="0" borderId="21" xfId="0" applyFont="1" applyFill="1" applyBorder="1" applyAlignment="1">
      <alignment horizontal="center"/>
    </xf>
    <xf numFmtId="0" fontId="1" fillId="0" borderId="17" xfId="0" applyFont="1" applyBorder="1" applyAlignment="1">
      <alignment/>
    </xf>
    <xf numFmtId="180" fontId="1" fillId="0" borderId="18" xfId="0" applyNumberFormat="1"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12" xfId="0" applyFont="1" applyBorder="1" applyAlignment="1">
      <alignment/>
    </xf>
    <xf numFmtId="0" fontId="1" fillId="0" borderId="15" xfId="0" applyFont="1" applyFill="1" applyBorder="1" applyAlignment="1">
      <alignment/>
    </xf>
    <xf numFmtId="0" fontId="1" fillId="0" borderId="17" xfId="0" applyFont="1" applyBorder="1" applyAlignment="1">
      <alignment horizontal="center"/>
    </xf>
    <xf numFmtId="0" fontId="1" fillId="0" borderId="18" xfId="0" applyFont="1" applyBorder="1" applyAlignment="1">
      <alignment/>
    </xf>
    <xf numFmtId="180" fontId="5" fillId="0" borderId="19" xfId="0" applyNumberFormat="1" applyFont="1" applyBorder="1" applyAlignment="1">
      <alignment horizontal="center"/>
    </xf>
    <xf numFmtId="180" fontId="5" fillId="0" borderId="21" xfId="0" applyNumberFormat="1" applyFont="1" applyBorder="1" applyAlignment="1">
      <alignment/>
    </xf>
    <xf numFmtId="180" fontId="5" fillId="0" borderId="17" xfId="0" applyNumberFormat="1" applyFont="1" applyBorder="1" applyAlignment="1">
      <alignment horizontal="center"/>
    </xf>
    <xf numFmtId="16" fontId="6" fillId="0" borderId="19" xfId="0" applyNumberFormat="1" applyFont="1" applyFill="1" applyBorder="1" applyAlignment="1">
      <alignment/>
    </xf>
    <xf numFmtId="16" fontId="6" fillId="0" borderId="21" xfId="0" applyNumberFormat="1" applyFont="1" applyFill="1" applyBorder="1" applyAlignment="1">
      <alignment/>
    </xf>
    <xf numFmtId="16" fontId="6" fillId="0" borderId="16" xfId="0" applyNumberFormat="1" applyFont="1" applyFill="1" applyBorder="1" applyAlignment="1">
      <alignment/>
    </xf>
    <xf numFmtId="180" fontId="0" fillId="0" borderId="18" xfId="0" applyNumberFormat="1" applyFont="1" applyBorder="1" applyAlignment="1">
      <alignment/>
    </xf>
    <xf numFmtId="180" fontId="0" fillId="0" borderId="18" xfId="0" applyNumberFormat="1" applyFont="1" applyFill="1" applyBorder="1" applyAlignment="1">
      <alignment/>
    </xf>
    <xf numFmtId="180" fontId="0" fillId="0" borderId="15" xfId="0" applyNumberFormat="1" applyFont="1" applyFill="1" applyBorder="1" applyAlignment="1">
      <alignment/>
    </xf>
    <xf numFmtId="0" fontId="0" fillId="0" borderId="0" xfId="0" applyFont="1" applyAlignment="1">
      <alignment/>
    </xf>
    <xf numFmtId="170" fontId="6" fillId="0" borderId="21" xfId="0" applyNumberFormat="1" applyFont="1" applyBorder="1" applyAlignment="1">
      <alignment/>
    </xf>
    <xf numFmtId="170" fontId="0" fillId="0" borderId="20" xfId="0" applyNumberFormat="1" applyBorder="1" applyAlignment="1">
      <alignment/>
    </xf>
    <xf numFmtId="0" fontId="10" fillId="0" borderId="10" xfId="0" applyFont="1" applyFill="1" applyBorder="1" applyAlignment="1">
      <alignment horizontal="left" indent="2"/>
    </xf>
    <xf numFmtId="180" fontId="6" fillId="0" borderId="22" xfId="0" applyNumberFormat="1" applyFont="1" applyFill="1" applyBorder="1" applyAlignment="1">
      <alignment/>
    </xf>
    <xf numFmtId="0" fontId="10" fillId="0" borderId="11" xfId="0" applyFont="1" applyFill="1" applyBorder="1" applyAlignment="1">
      <alignment horizontal="left" indent="2"/>
    </xf>
    <xf numFmtId="180" fontId="6" fillId="0" borderId="23" xfId="0" applyNumberFormat="1" applyFont="1" applyFill="1" applyBorder="1" applyAlignment="1">
      <alignment/>
    </xf>
    <xf numFmtId="180" fontId="5" fillId="0" borderId="23" xfId="0" applyNumberFormat="1" applyFont="1" applyFill="1" applyBorder="1" applyAlignment="1">
      <alignment/>
    </xf>
    <xf numFmtId="0" fontId="6" fillId="0" borderId="12" xfId="0" applyFont="1" applyFill="1" applyBorder="1" applyAlignment="1">
      <alignment/>
    </xf>
    <xf numFmtId="180" fontId="6" fillId="0" borderId="14" xfId="0" applyNumberFormat="1" applyFont="1" applyFill="1" applyBorder="1" applyAlignment="1">
      <alignment/>
    </xf>
    <xf numFmtId="170" fontId="6" fillId="0" borderId="18" xfId="0" applyNumberFormat="1" applyFont="1" applyBorder="1" applyAlignment="1">
      <alignment/>
    </xf>
    <xf numFmtId="0" fontId="13" fillId="0" borderId="0" xfId="0" applyFont="1" applyAlignment="1">
      <alignment/>
    </xf>
    <xf numFmtId="0" fontId="13" fillId="0" borderId="0" xfId="0" applyFont="1" applyAlignment="1">
      <alignment/>
    </xf>
    <xf numFmtId="0" fontId="13" fillId="0" borderId="0" xfId="0" applyFont="1" applyAlignment="1">
      <alignment vertical="top"/>
    </xf>
    <xf numFmtId="0" fontId="15" fillId="0" borderId="0" xfId="0" applyFont="1" applyAlignment="1">
      <alignment horizontal="center"/>
    </xf>
    <xf numFmtId="0" fontId="15" fillId="0" borderId="0" xfId="0" applyFont="1" applyAlignment="1">
      <alignment horizontal="left" indent="2"/>
    </xf>
    <xf numFmtId="0" fontId="15" fillId="0" borderId="0" xfId="0" applyFont="1" applyAlignment="1">
      <alignment horizontal="left" indent="4"/>
    </xf>
    <xf numFmtId="0" fontId="0" fillId="0" borderId="0" xfId="0" applyAlignment="1">
      <alignment horizontal="center"/>
    </xf>
    <xf numFmtId="0" fontId="4" fillId="34" borderId="0" xfId="0" applyFont="1" applyFill="1" applyAlignment="1" applyProtection="1">
      <alignment/>
      <protection locked="0"/>
    </xf>
    <xf numFmtId="0" fontId="6" fillId="34" borderId="0" xfId="0" applyFont="1" applyFill="1" applyAlignment="1" applyProtection="1">
      <alignment/>
      <protection locked="0"/>
    </xf>
    <xf numFmtId="0" fontId="6" fillId="34" borderId="20" xfId="0" applyFont="1" applyFill="1" applyBorder="1" applyAlignment="1" applyProtection="1">
      <alignment wrapText="1"/>
      <protection locked="0"/>
    </xf>
    <xf numFmtId="0" fontId="6" fillId="34" borderId="22" xfId="0" applyFont="1" applyFill="1" applyBorder="1" applyAlignment="1" applyProtection="1">
      <alignment/>
      <protection locked="0"/>
    </xf>
    <xf numFmtId="0" fontId="6" fillId="34" borderId="23" xfId="0" applyFont="1" applyFill="1" applyBorder="1" applyAlignment="1" applyProtection="1">
      <alignment/>
      <protection locked="0"/>
    </xf>
    <xf numFmtId="0" fontId="2" fillId="34" borderId="14" xfId="45" applyFill="1" applyBorder="1" applyAlignment="1" applyProtection="1">
      <alignment/>
      <protection locked="0"/>
    </xf>
    <xf numFmtId="187" fontId="6" fillId="34" borderId="17" xfId="0" applyNumberFormat="1" applyFont="1" applyFill="1" applyBorder="1" applyAlignment="1" applyProtection="1">
      <alignment horizontal="right"/>
      <protection locked="0"/>
    </xf>
    <xf numFmtId="0" fontId="6" fillId="34" borderId="17" xfId="0" applyFont="1" applyFill="1" applyBorder="1" applyAlignment="1" applyProtection="1">
      <alignment horizontal="right"/>
      <protection locked="0"/>
    </xf>
    <xf numFmtId="0" fontId="5" fillId="34" borderId="19" xfId="0" applyFont="1" applyFill="1" applyBorder="1" applyAlignment="1" applyProtection="1">
      <alignment/>
      <protection locked="0"/>
    </xf>
    <xf numFmtId="0" fontId="6" fillId="34" borderId="19" xfId="0" applyFont="1" applyFill="1" applyBorder="1" applyAlignment="1" applyProtection="1">
      <alignment/>
      <protection locked="0"/>
    </xf>
    <xf numFmtId="0" fontId="5" fillId="34" borderId="0" xfId="0" applyFont="1" applyFill="1" applyAlignment="1" applyProtection="1">
      <alignment/>
      <protection locked="0"/>
    </xf>
    <xf numFmtId="0" fontId="5" fillId="34" borderId="0" xfId="0" applyFont="1" applyFill="1" applyAlignment="1" applyProtection="1">
      <alignment horizontal="center"/>
      <protection locked="0"/>
    </xf>
    <xf numFmtId="0" fontId="5" fillId="34" borderId="0" xfId="0" applyFont="1" applyFill="1" applyAlignment="1" applyProtection="1">
      <alignment horizontal="right"/>
      <protection locked="0"/>
    </xf>
    <xf numFmtId="0" fontId="5" fillId="34" borderId="18" xfId="0" applyFont="1" applyFill="1" applyBorder="1" applyAlignment="1" applyProtection="1">
      <alignment horizontal="center"/>
      <protection locked="0"/>
    </xf>
    <xf numFmtId="0" fontId="6" fillId="34" borderId="21" xfId="0" applyFont="1" applyFill="1" applyBorder="1" applyAlignment="1" applyProtection="1">
      <alignment/>
      <protection locked="0"/>
    </xf>
    <xf numFmtId="0" fontId="6" fillId="34" borderId="24" xfId="0" applyFont="1" applyFill="1" applyBorder="1" applyAlignment="1" applyProtection="1">
      <alignment/>
      <protection locked="0"/>
    </xf>
    <xf numFmtId="0" fontId="6" fillId="34" borderId="10" xfId="0" applyFont="1" applyFill="1" applyBorder="1" applyAlignment="1" applyProtection="1">
      <alignment/>
      <protection locked="0"/>
    </xf>
    <xf numFmtId="0" fontId="10" fillId="34" borderId="11" xfId="0" applyFont="1" applyFill="1" applyBorder="1" applyAlignment="1" applyProtection="1">
      <alignment horizontal="left" indent="2"/>
      <protection locked="0"/>
    </xf>
    <xf numFmtId="0" fontId="6" fillId="34" borderId="0" xfId="0" applyFont="1" applyFill="1" applyBorder="1" applyAlignment="1" applyProtection="1">
      <alignment/>
      <protection locked="0"/>
    </xf>
    <xf numFmtId="0" fontId="6" fillId="34" borderId="11" xfId="0" applyFont="1" applyFill="1" applyBorder="1" applyAlignment="1" applyProtection="1">
      <alignment/>
      <protection locked="0"/>
    </xf>
    <xf numFmtId="0" fontId="6" fillId="34" borderId="12" xfId="0" applyFont="1" applyFill="1" applyBorder="1" applyAlignment="1" applyProtection="1">
      <alignment/>
      <protection locked="0"/>
    </xf>
    <xf numFmtId="0" fontId="6" fillId="34" borderId="13" xfId="0" applyFont="1" applyFill="1" applyBorder="1" applyAlignment="1" applyProtection="1">
      <alignment/>
      <protection locked="0"/>
    </xf>
    <xf numFmtId="0" fontId="10" fillId="34" borderId="10" xfId="0" applyFont="1" applyFill="1" applyBorder="1" applyAlignment="1" applyProtection="1">
      <alignment horizontal="left" indent="2"/>
      <protection locked="0"/>
    </xf>
    <xf numFmtId="0" fontId="6" fillId="34" borderId="14" xfId="0" applyFont="1" applyFill="1" applyBorder="1" applyAlignment="1" applyProtection="1">
      <alignment/>
      <protection locked="0"/>
    </xf>
    <xf numFmtId="0" fontId="10" fillId="34" borderId="12" xfId="0" applyFont="1" applyFill="1" applyBorder="1" applyAlignment="1" applyProtection="1">
      <alignment horizontal="left" indent="2"/>
      <protection locked="0"/>
    </xf>
    <xf numFmtId="0" fontId="6" fillId="34" borderId="12" xfId="0" applyFont="1" applyFill="1" applyBorder="1" applyAlignment="1" applyProtection="1">
      <alignment horizontal="left" indent="2"/>
      <protection locked="0"/>
    </xf>
    <xf numFmtId="16" fontId="6" fillId="34" borderId="18" xfId="0" applyNumberFormat="1" applyFont="1" applyFill="1" applyBorder="1" applyAlignment="1" applyProtection="1">
      <alignment/>
      <protection locked="0"/>
    </xf>
    <xf numFmtId="180" fontId="5" fillId="34" borderId="18" xfId="0" applyNumberFormat="1" applyFont="1" applyFill="1" applyBorder="1" applyAlignment="1" applyProtection="1">
      <alignment/>
      <protection locked="0"/>
    </xf>
    <xf numFmtId="0" fontId="6" fillId="34" borderId="18" xfId="0" applyFont="1" applyFill="1" applyBorder="1" applyAlignment="1" applyProtection="1">
      <alignment/>
      <protection locked="0"/>
    </xf>
    <xf numFmtId="180" fontId="6" fillId="34" borderId="18" xfId="0" applyNumberFormat="1" applyFont="1" applyFill="1" applyBorder="1" applyAlignment="1" applyProtection="1">
      <alignment/>
      <protection locked="0"/>
    </xf>
    <xf numFmtId="0" fontId="9" fillId="34" borderId="10" xfId="0" applyFont="1" applyFill="1" applyBorder="1" applyAlignment="1" applyProtection="1">
      <alignment horizontal="center"/>
      <protection locked="0"/>
    </xf>
    <xf numFmtId="0" fontId="9" fillId="34" borderId="11" xfId="0" applyFont="1" applyFill="1" applyBorder="1" applyAlignment="1" applyProtection="1">
      <alignment horizontal="center"/>
      <protection locked="0"/>
    </xf>
    <xf numFmtId="0" fontId="6" fillId="34" borderId="11" xfId="0" applyFont="1" applyFill="1" applyBorder="1" applyAlignment="1" applyProtection="1">
      <alignment horizontal="center"/>
      <protection locked="0"/>
    </xf>
    <xf numFmtId="0" fontId="6" fillId="34" borderId="12" xfId="0" applyFont="1" applyFill="1" applyBorder="1" applyAlignment="1" applyProtection="1">
      <alignment horizontal="center"/>
      <protection locked="0"/>
    </xf>
    <xf numFmtId="16" fontId="6" fillId="34" borderId="18" xfId="0" applyNumberFormat="1" applyFont="1" applyFill="1" applyBorder="1" applyAlignment="1" applyProtection="1">
      <alignment/>
      <protection/>
    </xf>
    <xf numFmtId="0" fontId="1" fillId="34" borderId="11" xfId="0" applyFont="1" applyFill="1" applyBorder="1" applyAlignment="1">
      <alignment/>
    </xf>
    <xf numFmtId="0" fontId="0" fillId="34" borderId="23" xfId="0" applyFill="1" applyBorder="1" applyAlignment="1">
      <alignment horizontal="left"/>
    </xf>
    <xf numFmtId="0" fontId="0" fillId="34" borderId="23" xfId="0" applyFill="1" applyBorder="1" applyAlignment="1">
      <alignment/>
    </xf>
    <xf numFmtId="0" fontId="16" fillId="0" borderId="0" xfId="0" applyFont="1" applyAlignment="1">
      <alignment/>
    </xf>
    <xf numFmtId="0" fontId="6" fillId="0" borderId="0" xfId="0" applyFont="1" applyAlignment="1">
      <alignment horizontal="center"/>
    </xf>
    <xf numFmtId="14" fontId="0" fillId="0" borderId="0" xfId="0" applyNumberFormat="1" applyAlignment="1">
      <alignment horizontal="center"/>
    </xf>
    <xf numFmtId="0" fontId="6" fillId="0" borderId="0" xfId="0" applyFont="1" applyAlignment="1" applyProtection="1">
      <alignment/>
      <protection/>
    </xf>
    <xf numFmtId="170" fontId="0" fillId="0" borderId="0" xfId="0" applyNumberFormat="1" applyAlignment="1">
      <alignment/>
    </xf>
    <xf numFmtId="170" fontId="0" fillId="0" borderId="19" xfId="0" applyNumberFormat="1" applyBorder="1" applyAlignment="1">
      <alignment/>
    </xf>
    <xf numFmtId="170" fontId="0" fillId="0" borderId="21" xfId="0" applyNumberFormat="1" applyBorder="1" applyAlignment="1">
      <alignment/>
    </xf>
    <xf numFmtId="0" fontId="6" fillId="34" borderId="0" xfId="0" applyFont="1" applyFill="1" applyAlignment="1" applyProtection="1">
      <alignment horizontal="center"/>
      <protection locked="0"/>
    </xf>
    <xf numFmtId="170" fontId="17" fillId="0" borderId="0" xfId="0" applyNumberFormat="1" applyFont="1" applyAlignment="1">
      <alignment/>
    </xf>
    <xf numFmtId="0" fontId="6" fillId="0" borderId="24" xfId="0" applyFont="1" applyFill="1" applyBorder="1" applyAlignment="1">
      <alignment/>
    </xf>
    <xf numFmtId="16" fontId="6" fillId="34" borderId="19" xfId="0" applyNumberFormat="1" applyFont="1" applyFill="1" applyBorder="1" applyAlignment="1" applyProtection="1">
      <alignment/>
      <protection locked="0"/>
    </xf>
    <xf numFmtId="16" fontId="6" fillId="34" borderId="24" xfId="0" applyNumberFormat="1" applyFont="1" applyFill="1" applyBorder="1" applyAlignment="1" applyProtection="1">
      <alignment/>
      <protection locked="0"/>
    </xf>
    <xf numFmtId="0" fontId="5" fillId="0" borderId="0" xfId="0" applyFont="1" applyAlignment="1" applyProtection="1">
      <alignment/>
      <protection locked="0"/>
    </xf>
    <xf numFmtId="0" fontId="0" fillId="34" borderId="11" xfId="0" applyFill="1" applyBorder="1" applyAlignment="1">
      <alignment/>
    </xf>
    <xf numFmtId="0" fontId="0" fillId="34" borderId="12" xfId="0" applyFill="1" applyBorder="1" applyAlignment="1">
      <alignment/>
    </xf>
    <xf numFmtId="0" fontId="0" fillId="34" borderId="14" xfId="0" applyFill="1" applyBorder="1" applyAlignment="1">
      <alignment/>
    </xf>
    <xf numFmtId="170" fontId="0" fillId="34" borderId="20" xfId="0" applyNumberFormat="1" applyFill="1" applyBorder="1" applyAlignment="1">
      <alignment/>
    </xf>
    <xf numFmtId="170" fontId="0" fillId="34" borderId="21" xfId="0" applyNumberFormat="1" applyFill="1" applyBorder="1" applyAlignment="1">
      <alignment/>
    </xf>
    <xf numFmtId="170" fontId="1" fillId="0" borderId="18" xfId="0" applyNumberFormat="1" applyFont="1" applyBorder="1" applyAlignment="1">
      <alignment/>
    </xf>
    <xf numFmtId="170" fontId="0" fillId="34" borderId="19" xfId="0" applyNumberFormat="1" applyFill="1" applyBorder="1" applyAlignment="1" applyProtection="1">
      <alignment horizontal="right" vertical="top"/>
      <protection locked="0"/>
    </xf>
    <xf numFmtId="170" fontId="0" fillId="0" borderId="19" xfId="0" applyNumberFormat="1" applyBorder="1" applyAlignment="1">
      <alignment horizontal="right" vertical="top"/>
    </xf>
    <xf numFmtId="170" fontId="0" fillId="0" borderId="20" xfId="0" applyNumberFormat="1" applyBorder="1" applyAlignment="1">
      <alignment horizontal="right" vertical="top"/>
    </xf>
    <xf numFmtId="170" fontId="0" fillId="34" borderId="20" xfId="0" applyNumberFormat="1" applyFill="1" applyBorder="1" applyAlignment="1" applyProtection="1">
      <alignment horizontal="right" vertical="top"/>
      <protection locked="0"/>
    </xf>
    <xf numFmtId="170" fontId="0" fillId="0" borderId="21" xfId="0" applyNumberFormat="1" applyBorder="1" applyAlignment="1">
      <alignment horizontal="right" vertical="top"/>
    </xf>
    <xf numFmtId="170" fontId="1" fillId="0" borderId="21" xfId="0" applyNumberFormat="1" applyFont="1" applyBorder="1" applyAlignment="1">
      <alignment horizontal="right" vertical="top"/>
    </xf>
    <xf numFmtId="170" fontId="0" fillId="0" borderId="18" xfId="0" applyNumberFormat="1" applyBorder="1" applyAlignment="1">
      <alignment horizontal="right" vertical="top"/>
    </xf>
    <xf numFmtId="170" fontId="1" fillId="0" borderId="18" xfId="0" applyNumberFormat="1" applyFont="1" applyBorder="1" applyAlignment="1">
      <alignment horizontal="right" vertical="top"/>
    </xf>
    <xf numFmtId="170" fontId="0" fillId="0" borderId="16" xfId="0" applyNumberFormat="1" applyBorder="1" applyAlignment="1">
      <alignment/>
    </xf>
    <xf numFmtId="170" fontId="0" fillId="0" borderId="17" xfId="0" applyNumberFormat="1" applyBorder="1" applyAlignment="1">
      <alignment/>
    </xf>
    <xf numFmtId="170" fontId="0" fillId="0" borderId="20" xfId="0" applyNumberFormat="1" applyFill="1" applyBorder="1" applyAlignment="1">
      <alignment horizontal="right" vertical="top"/>
    </xf>
    <xf numFmtId="170" fontId="0" fillId="33" borderId="18" xfId="0" applyNumberFormat="1" applyFill="1" applyBorder="1" applyAlignment="1">
      <alignment horizontal="right" vertical="top"/>
    </xf>
    <xf numFmtId="0" fontId="6" fillId="35" borderId="20" xfId="0" applyFont="1" applyFill="1" applyBorder="1" applyAlignment="1" applyProtection="1">
      <alignment wrapText="1"/>
      <protection/>
    </xf>
    <xf numFmtId="170" fontId="18" fillId="0" borderId="0" xfId="0" applyNumberFormat="1" applyFont="1" applyAlignment="1" quotePrefix="1">
      <alignment horizontal="right"/>
    </xf>
    <xf numFmtId="170" fontId="19" fillId="0" borderId="0" xfId="0" applyNumberFormat="1" applyFont="1" applyAlignment="1">
      <alignment horizontal="right"/>
    </xf>
    <xf numFmtId="170" fontId="19" fillId="0" borderId="0" xfId="0" applyNumberFormat="1" applyFont="1" applyAlignment="1">
      <alignment/>
    </xf>
    <xf numFmtId="0" fontId="12" fillId="0" borderId="15" xfId="0" applyFont="1" applyBorder="1" applyAlignment="1">
      <alignment/>
    </xf>
    <xf numFmtId="0" fontId="20" fillId="0" borderId="16" xfId="0" applyFont="1" applyBorder="1" applyAlignment="1">
      <alignment/>
    </xf>
    <xf numFmtId="0" fontId="20" fillId="0" borderId="17" xfId="0" applyFont="1" applyBorder="1" applyAlignment="1">
      <alignment/>
    </xf>
    <xf numFmtId="0" fontId="20" fillId="0" borderId="19" xfId="0" applyFont="1" applyBorder="1" applyAlignment="1">
      <alignment/>
    </xf>
    <xf numFmtId="0" fontId="20" fillId="0" borderId="0" xfId="0" applyFont="1" applyAlignment="1">
      <alignment/>
    </xf>
    <xf numFmtId="0" fontId="20" fillId="0" borderId="10" xfId="0" applyFont="1" applyBorder="1" applyAlignment="1">
      <alignment/>
    </xf>
    <xf numFmtId="0" fontId="20" fillId="0" borderId="24" xfId="0" applyFont="1" applyBorder="1" applyAlignment="1">
      <alignment/>
    </xf>
    <xf numFmtId="170" fontId="20" fillId="0" borderId="24" xfId="0" applyNumberFormat="1" applyFont="1" applyBorder="1" applyAlignment="1">
      <alignment/>
    </xf>
    <xf numFmtId="170" fontId="20" fillId="0" borderId="19" xfId="0" applyNumberFormat="1" applyFont="1" applyBorder="1" applyAlignment="1">
      <alignment horizontal="right"/>
    </xf>
    <xf numFmtId="170" fontId="20" fillId="0" borderId="24" xfId="0" applyNumberFormat="1" applyFont="1" applyBorder="1" applyAlignment="1">
      <alignment horizontal="right"/>
    </xf>
    <xf numFmtId="0" fontId="20" fillId="0" borderId="11" xfId="0" applyFont="1" applyBorder="1" applyAlignment="1">
      <alignment/>
    </xf>
    <xf numFmtId="0" fontId="20" fillId="0" borderId="0" xfId="0" applyFont="1" applyBorder="1" applyAlignment="1">
      <alignment/>
    </xf>
    <xf numFmtId="170" fontId="20" fillId="0" borderId="0" xfId="0" applyNumberFormat="1" applyFont="1" applyBorder="1" applyAlignment="1">
      <alignment/>
    </xf>
    <xf numFmtId="170" fontId="20" fillId="0" borderId="20" xfId="0" applyNumberFormat="1" applyFont="1" applyBorder="1" applyAlignment="1">
      <alignment horizontal="right"/>
    </xf>
    <xf numFmtId="170" fontId="20" fillId="0" borderId="0" xfId="0" applyNumberFormat="1" applyFont="1" applyBorder="1" applyAlignment="1">
      <alignment horizontal="right"/>
    </xf>
    <xf numFmtId="0" fontId="20" fillId="0" borderId="12" xfId="0" applyFont="1" applyBorder="1" applyAlignment="1">
      <alignment/>
    </xf>
    <xf numFmtId="0" fontId="20" fillId="0" borderId="13" xfId="0" applyFont="1" applyBorder="1" applyAlignment="1">
      <alignment/>
    </xf>
    <xf numFmtId="170" fontId="20" fillId="0" borderId="13" xfId="0" applyNumberFormat="1" applyFont="1" applyBorder="1" applyAlignment="1">
      <alignment/>
    </xf>
    <xf numFmtId="170" fontId="20" fillId="0" borderId="21" xfId="0" applyNumberFormat="1" applyFont="1" applyBorder="1" applyAlignment="1">
      <alignment horizontal="right"/>
    </xf>
    <xf numFmtId="170" fontId="20" fillId="0" borderId="13" xfId="0" applyNumberFormat="1" applyFont="1" applyBorder="1" applyAlignment="1">
      <alignment horizontal="right"/>
    </xf>
    <xf numFmtId="0" fontId="20" fillId="0" borderId="15" xfId="0" applyFont="1" applyBorder="1" applyAlignment="1">
      <alignment/>
    </xf>
    <xf numFmtId="170" fontId="20" fillId="0" borderId="18" xfId="0" applyNumberFormat="1" applyFont="1" applyBorder="1" applyAlignment="1">
      <alignment/>
    </xf>
    <xf numFmtId="170" fontId="21" fillId="0" borderId="0" xfId="0" applyNumberFormat="1" applyFont="1" applyBorder="1" applyAlignment="1">
      <alignment/>
    </xf>
    <xf numFmtId="0" fontId="12" fillId="0" borderId="10" xfId="0" applyFont="1" applyBorder="1" applyAlignment="1">
      <alignment/>
    </xf>
    <xf numFmtId="0" fontId="12" fillId="0" borderId="24" xfId="0" applyFont="1" applyBorder="1" applyAlignment="1">
      <alignment/>
    </xf>
    <xf numFmtId="16" fontId="12" fillId="0" borderId="24" xfId="0" applyNumberFormat="1" applyFont="1" applyBorder="1" applyAlignment="1">
      <alignment/>
    </xf>
    <xf numFmtId="0" fontId="12" fillId="0" borderId="22" xfId="0" applyFont="1" applyBorder="1" applyAlignment="1">
      <alignment/>
    </xf>
    <xf numFmtId="0" fontId="12" fillId="0" borderId="19" xfId="0" applyFont="1" applyBorder="1" applyAlignment="1">
      <alignment/>
    </xf>
    <xf numFmtId="14" fontId="20" fillId="0" borderId="24" xfId="0" applyNumberFormat="1" applyFont="1" applyBorder="1" applyAlignment="1">
      <alignment/>
    </xf>
    <xf numFmtId="170" fontId="20" fillId="0" borderId="10" xfId="0" applyNumberFormat="1" applyFont="1" applyBorder="1" applyAlignment="1">
      <alignment/>
    </xf>
    <xf numFmtId="170" fontId="20" fillId="0" borderId="19" xfId="0" applyNumberFormat="1" applyFont="1" applyBorder="1" applyAlignment="1">
      <alignment/>
    </xf>
    <xf numFmtId="14" fontId="20" fillId="0" borderId="13" xfId="0" applyNumberFormat="1" applyFont="1" applyBorder="1" applyAlignment="1">
      <alignment/>
    </xf>
    <xf numFmtId="170" fontId="20" fillId="0" borderId="12" xfId="0" applyNumberFormat="1" applyFont="1" applyBorder="1" applyAlignment="1">
      <alignment/>
    </xf>
    <xf numFmtId="170" fontId="20" fillId="0" borderId="21" xfId="0" applyNumberFormat="1" applyFont="1" applyBorder="1" applyAlignment="1">
      <alignment/>
    </xf>
    <xf numFmtId="1" fontId="20" fillId="0" borderId="19" xfId="0" applyNumberFormat="1" applyFont="1" applyBorder="1" applyAlignment="1">
      <alignment/>
    </xf>
    <xf numFmtId="170" fontId="20" fillId="0" borderId="20" xfId="0" applyNumberFormat="1" applyFont="1" applyBorder="1" applyAlignment="1">
      <alignment/>
    </xf>
    <xf numFmtId="1" fontId="20" fillId="0" borderId="20" xfId="0" applyNumberFormat="1" applyFont="1" applyBorder="1" applyAlignment="1">
      <alignment/>
    </xf>
    <xf numFmtId="0" fontId="20" fillId="0" borderId="20" xfId="0" applyFont="1" applyBorder="1" applyAlignment="1">
      <alignment/>
    </xf>
    <xf numFmtId="1" fontId="20" fillId="0" borderId="11" xfId="0" applyNumberFormat="1" applyFont="1" applyBorder="1" applyAlignment="1">
      <alignment/>
    </xf>
    <xf numFmtId="1" fontId="20" fillId="0" borderId="21" xfId="0" applyNumberFormat="1" applyFont="1" applyBorder="1" applyAlignment="1">
      <alignment/>
    </xf>
    <xf numFmtId="0" fontId="20" fillId="0" borderId="21" xfId="0" applyFont="1" applyBorder="1" applyAlignment="1">
      <alignment/>
    </xf>
    <xf numFmtId="0" fontId="20" fillId="0" borderId="17" xfId="0" applyFont="1" applyBorder="1" applyAlignment="1">
      <alignment horizontal="right"/>
    </xf>
    <xf numFmtId="180" fontId="20" fillId="0" borderId="18" xfId="0" applyNumberFormat="1" applyFont="1" applyBorder="1" applyAlignment="1">
      <alignment/>
    </xf>
    <xf numFmtId="0" fontId="20" fillId="0" borderId="12" xfId="0" applyFont="1" applyBorder="1" applyAlignment="1">
      <alignment horizontal="left"/>
    </xf>
    <xf numFmtId="0" fontId="20" fillId="0" borderId="14" xfId="0" applyFont="1" applyBorder="1" applyAlignment="1">
      <alignment horizontal="right"/>
    </xf>
    <xf numFmtId="14" fontId="12" fillId="0" borderId="24" xfId="0" applyNumberFormat="1" applyFont="1" applyBorder="1" applyAlignment="1">
      <alignment/>
    </xf>
    <xf numFmtId="14" fontId="20" fillId="0" borderId="0" xfId="0" applyNumberFormat="1" applyFont="1" applyBorder="1" applyAlignment="1">
      <alignment/>
    </xf>
    <xf numFmtId="170" fontId="20" fillId="0" borderId="11" xfId="0" applyNumberFormat="1" applyFont="1" applyBorder="1" applyAlignment="1">
      <alignment/>
    </xf>
    <xf numFmtId="170" fontId="21" fillId="0" borderId="14" xfId="0" applyNumberFormat="1" applyFont="1" applyBorder="1" applyAlignment="1">
      <alignment/>
    </xf>
    <xf numFmtId="0" fontId="12" fillId="0" borderId="15" xfId="0" applyFont="1" applyBorder="1" applyAlignment="1">
      <alignment horizontal="left"/>
    </xf>
    <xf numFmtId="0" fontId="12" fillId="0" borderId="16" xfId="0" applyFont="1" applyBorder="1" applyAlignment="1">
      <alignment/>
    </xf>
    <xf numFmtId="0" fontId="12" fillId="0" borderId="17" xfId="0" applyFont="1" applyBorder="1" applyAlignment="1">
      <alignment/>
    </xf>
    <xf numFmtId="170" fontId="12" fillId="0" borderId="18" xfId="0" applyNumberFormat="1" applyFont="1" applyBorder="1" applyAlignment="1">
      <alignment/>
    </xf>
    <xf numFmtId="0" fontId="12" fillId="0" borderId="18" xfId="0" applyFont="1" applyBorder="1" applyAlignment="1">
      <alignment/>
    </xf>
    <xf numFmtId="0" fontId="12" fillId="0" borderId="18" xfId="0" applyFont="1" applyBorder="1" applyAlignment="1">
      <alignment horizontal="left"/>
    </xf>
    <xf numFmtId="0" fontId="12" fillId="0" borderId="17" xfId="0" applyFont="1" applyBorder="1" applyAlignment="1">
      <alignment horizontal="right"/>
    </xf>
    <xf numFmtId="187" fontId="4" fillId="34" borderId="0" xfId="0" applyNumberFormat="1" applyFont="1" applyFill="1" applyAlignment="1" applyProtection="1">
      <alignment horizontal="right"/>
      <protection locked="0"/>
    </xf>
    <xf numFmtId="0" fontId="10" fillId="0" borderId="10" xfId="0" applyFont="1" applyFill="1" applyBorder="1" applyAlignment="1" applyProtection="1">
      <alignment horizontal="left" indent="2"/>
      <protection locked="0"/>
    </xf>
    <xf numFmtId="180" fontId="6" fillId="0" borderId="19" xfId="0" applyNumberFormat="1" applyFont="1" applyFill="1" applyBorder="1" applyAlignment="1">
      <alignment/>
    </xf>
    <xf numFmtId="180" fontId="6" fillId="0" borderId="20" xfId="0" applyNumberFormat="1" applyFont="1" applyFill="1" applyBorder="1" applyAlignment="1">
      <alignment/>
    </xf>
    <xf numFmtId="16" fontId="6" fillId="34" borderId="22" xfId="0" applyNumberFormat="1" applyFont="1" applyFill="1" applyBorder="1" applyAlignment="1" applyProtection="1">
      <alignment/>
      <protection locked="0"/>
    </xf>
    <xf numFmtId="0" fontId="0" fillId="33" borderId="21" xfId="0" applyFill="1" applyBorder="1" applyAlignment="1">
      <alignment/>
    </xf>
    <xf numFmtId="0" fontId="0" fillId="33" borderId="13" xfId="0" applyFill="1" applyBorder="1" applyAlignment="1">
      <alignment/>
    </xf>
    <xf numFmtId="0" fontId="0" fillId="33" borderId="14" xfId="0" applyFill="1" applyBorder="1" applyAlignment="1">
      <alignment/>
    </xf>
    <xf numFmtId="16" fontId="0" fillId="33" borderId="21" xfId="0" applyNumberFormat="1" applyFill="1" applyBorder="1" applyAlignment="1">
      <alignment/>
    </xf>
    <xf numFmtId="0" fontId="0" fillId="0" borderId="0" xfId="0" applyFont="1" applyAlignment="1" quotePrefix="1">
      <alignment horizontal="right"/>
    </xf>
    <xf numFmtId="187" fontId="1" fillId="0" borderId="0" xfId="0" applyNumberFormat="1" applyFont="1" applyAlignment="1">
      <alignment/>
    </xf>
    <xf numFmtId="187" fontId="5" fillId="0" borderId="0" xfId="0" applyNumberFormat="1" applyFont="1" applyAlignment="1">
      <alignment horizontal="left"/>
    </xf>
    <xf numFmtId="0" fontId="6" fillId="34" borderId="18" xfId="0" applyNumberFormat="1" applyFont="1" applyFill="1" applyBorder="1" applyAlignment="1" applyProtection="1">
      <alignment/>
      <protection locked="0"/>
    </xf>
    <xf numFmtId="170" fontId="5" fillId="34" borderId="15" xfId="0" applyNumberFormat="1" applyFont="1" applyFill="1" applyBorder="1" applyAlignment="1" applyProtection="1">
      <alignment horizontal="right"/>
      <protection locked="0"/>
    </xf>
    <xf numFmtId="170" fontId="5" fillId="33" borderId="15" xfId="0" applyNumberFormat="1" applyFont="1" applyFill="1" applyBorder="1" applyAlignment="1">
      <alignment horizontal="center"/>
    </xf>
    <xf numFmtId="170" fontId="5" fillId="33" borderId="16" xfId="0" applyNumberFormat="1" applyFont="1" applyFill="1" applyBorder="1" applyAlignment="1">
      <alignment horizontal="center"/>
    </xf>
    <xf numFmtId="170" fontId="5" fillId="33" borderId="17" xfId="0" applyNumberFormat="1" applyFont="1" applyFill="1" applyBorder="1" applyAlignment="1">
      <alignment horizontal="center"/>
    </xf>
    <xf numFmtId="170" fontId="5" fillId="34" borderId="14" xfId="0" applyNumberFormat="1" applyFont="1" applyFill="1" applyBorder="1" applyAlignment="1" applyProtection="1">
      <alignment horizontal="right"/>
      <protection locked="0"/>
    </xf>
    <xf numFmtId="170" fontId="5" fillId="0" borderId="18" xfId="0" applyNumberFormat="1" applyFont="1" applyFill="1" applyBorder="1" applyAlignment="1">
      <alignment horizontal="center"/>
    </xf>
    <xf numFmtId="170" fontId="5" fillId="0" borderId="0" xfId="0" applyNumberFormat="1" applyFont="1" applyAlignment="1">
      <alignment/>
    </xf>
    <xf numFmtId="170" fontId="5" fillId="34" borderId="18" xfId="0" applyNumberFormat="1" applyFont="1" applyFill="1" applyBorder="1" applyAlignment="1" applyProtection="1">
      <alignment horizontal="right"/>
      <protection locked="0"/>
    </xf>
    <xf numFmtId="170" fontId="5" fillId="34" borderId="21" xfId="0" applyNumberFormat="1" applyFont="1" applyFill="1" applyBorder="1" applyAlignment="1" applyProtection="1">
      <alignment horizontal="right"/>
      <protection locked="0"/>
    </xf>
    <xf numFmtId="180" fontId="6" fillId="34" borderId="10" xfId="0" applyNumberFormat="1" applyFont="1" applyFill="1" applyBorder="1" applyAlignment="1" applyProtection="1">
      <alignment/>
      <protection locked="0"/>
    </xf>
    <xf numFmtId="180" fontId="6" fillId="35" borderId="12" xfId="0" applyNumberFormat="1" applyFont="1" applyFill="1" applyBorder="1" applyAlignment="1" applyProtection="1">
      <alignment/>
      <protection/>
    </xf>
    <xf numFmtId="180" fontId="6" fillId="33" borderId="18" xfId="0" applyNumberFormat="1" applyFont="1" applyFill="1" applyBorder="1" applyAlignment="1">
      <alignment/>
    </xf>
    <xf numFmtId="170" fontId="0" fillId="0" borderId="18" xfId="0" applyNumberFormat="1" applyBorder="1" applyAlignment="1">
      <alignment/>
    </xf>
    <xf numFmtId="170" fontId="6" fillId="0" borderId="18" xfId="0" applyNumberFormat="1" applyFont="1" applyBorder="1" applyAlignment="1" applyProtection="1">
      <alignment/>
      <protection/>
    </xf>
    <xf numFmtId="170" fontId="5" fillId="33" borderId="14" xfId="0" applyNumberFormat="1" applyFont="1" applyFill="1" applyBorder="1" applyAlignment="1">
      <alignment horizontal="center"/>
    </xf>
    <xf numFmtId="16" fontId="0" fillId="33" borderId="13" xfId="0" applyNumberFormat="1" applyFill="1" applyBorder="1" applyAlignment="1">
      <alignment/>
    </xf>
    <xf numFmtId="170" fontId="0" fillId="34" borderId="18" xfId="0" applyNumberFormat="1" applyFill="1" applyBorder="1" applyAlignment="1" applyProtection="1">
      <alignment/>
      <protection locked="0"/>
    </xf>
    <xf numFmtId="170" fontId="0" fillId="34" borderId="20" xfId="0" applyNumberFormat="1" applyFill="1" applyBorder="1" applyAlignment="1" applyProtection="1">
      <alignment/>
      <protection locked="0"/>
    </xf>
    <xf numFmtId="170" fontId="0" fillId="0" borderId="20" xfId="0" applyNumberFormat="1" applyBorder="1" applyAlignment="1">
      <alignment/>
    </xf>
    <xf numFmtId="170" fontId="1" fillId="34" borderId="18" xfId="0" applyNumberFormat="1" applyFont="1" applyFill="1" applyBorder="1" applyAlignment="1" applyProtection="1">
      <alignment/>
      <protection locked="0"/>
    </xf>
    <xf numFmtId="170" fontId="1" fillId="33" borderId="18" xfId="0" applyNumberFormat="1" applyFont="1" applyFill="1" applyBorder="1" applyAlignment="1" applyProtection="1">
      <alignment/>
      <protection locked="0"/>
    </xf>
    <xf numFmtId="170" fontId="1" fillId="33" borderId="18" xfId="0" applyNumberFormat="1" applyFont="1" applyFill="1" applyBorder="1" applyAlignment="1">
      <alignment/>
    </xf>
    <xf numFmtId="0" fontId="22" fillId="0" borderId="0" xfId="0" applyFont="1" applyAlignment="1">
      <alignment horizontal="left" vertical="center"/>
    </xf>
    <xf numFmtId="16" fontId="0" fillId="34" borderId="18" xfId="0" applyNumberFormat="1" applyFont="1" applyFill="1" applyBorder="1" applyAlignment="1" applyProtection="1">
      <alignment/>
      <protection locked="0"/>
    </xf>
    <xf numFmtId="0" fontId="6" fillId="0" borderId="0" xfId="0" applyFont="1" applyAlignment="1">
      <alignment wrapText="1"/>
    </xf>
    <xf numFmtId="0" fontId="7" fillId="0" borderId="0" xfId="0" applyFont="1" applyAlignment="1">
      <alignment wrapText="1"/>
    </xf>
    <xf numFmtId="0" fontId="5" fillId="0" borderId="0" xfId="0" applyFont="1" applyAlignment="1">
      <alignment wrapText="1"/>
    </xf>
    <xf numFmtId="0" fontId="16" fillId="0" borderId="0" xfId="0" applyFont="1" applyAlignment="1">
      <alignment wrapText="1"/>
    </xf>
    <xf numFmtId="16" fontId="6" fillId="34" borderId="18" xfId="0" applyNumberFormat="1" applyFont="1" applyFill="1" applyBorder="1" applyAlignment="1" applyProtection="1">
      <alignment/>
      <protection locked="0"/>
    </xf>
    <xf numFmtId="0" fontId="9" fillId="34" borderId="12" xfId="0" applyFont="1" applyFill="1" applyBorder="1" applyAlignment="1" applyProtection="1">
      <alignment horizontal="center"/>
      <protection locked="0"/>
    </xf>
    <xf numFmtId="170" fontId="6" fillId="34" borderId="18" xfId="0" applyNumberFormat="1" applyFont="1" applyFill="1" applyBorder="1" applyAlignment="1" applyProtection="1">
      <alignment/>
      <protection locked="0"/>
    </xf>
    <xf numFmtId="1" fontId="6" fillId="34" borderId="19" xfId="0" applyNumberFormat="1" applyFont="1" applyFill="1" applyBorder="1" applyAlignment="1" applyProtection="1">
      <alignment/>
      <protection locked="0"/>
    </xf>
    <xf numFmtId="1" fontId="6" fillId="34" borderId="19" xfId="0" applyNumberFormat="1" applyFont="1" applyFill="1" applyBorder="1" applyAlignment="1">
      <alignment/>
    </xf>
    <xf numFmtId="1" fontId="6" fillId="34" borderId="21" xfId="0" applyNumberFormat="1" applyFont="1" applyFill="1" applyBorder="1" applyAlignment="1" applyProtection="1">
      <alignment/>
      <protection locked="0"/>
    </xf>
    <xf numFmtId="187" fontId="6" fillId="0" borderId="0" xfId="0" applyNumberFormat="1" applyFont="1" applyAlignment="1">
      <alignment/>
    </xf>
    <xf numFmtId="180" fontId="6" fillId="0" borderId="19" xfId="0" applyNumberFormat="1" applyFont="1" applyBorder="1" applyAlignment="1">
      <alignment horizontal="right"/>
    </xf>
    <xf numFmtId="180" fontId="6" fillId="0" borderId="20" xfId="0" applyNumberFormat="1" applyFont="1" applyBorder="1" applyAlignment="1">
      <alignment horizontal="right"/>
    </xf>
    <xf numFmtId="180" fontId="6" fillId="0" borderId="21" xfId="0" applyNumberFormat="1" applyFont="1" applyBorder="1" applyAlignment="1">
      <alignment horizontal="right"/>
    </xf>
    <xf numFmtId="195" fontId="6" fillId="0" borderId="0" xfId="0" applyNumberFormat="1" applyFont="1" applyAlignment="1">
      <alignment/>
    </xf>
    <xf numFmtId="195" fontId="6" fillId="0" borderId="22" xfId="0" applyNumberFormat="1" applyFont="1" applyBorder="1" applyAlignment="1">
      <alignment/>
    </xf>
    <xf numFmtId="195" fontId="6" fillId="34" borderId="22" xfId="0" applyNumberFormat="1" applyFont="1" applyFill="1" applyBorder="1" applyAlignment="1" applyProtection="1">
      <alignment/>
      <protection locked="0"/>
    </xf>
    <xf numFmtId="195" fontId="6" fillId="34" borderId="23" xfId="0" applyNumberFormat="1" applyFont="1" applyFill="1" applyBorder="1" applyAlignment="1" applyProtection="1">
      <alignment/>
      <protection locked="0"/>
    </xf>
    <xf numFmtId="195" fontId="5" fillId="0" borderId="17" xfId="0" applyNumberFormat="1" applyFont="1" applyBorder="1" applyAlignment="1">
      <alignment/>
    </xf>
    <xf numFmtId="195" fontId="6" fillId="0" borderId="17" xfId="0" applyNumberFormat="1" applyFont="1" applyBorder="1" applyAlignment="1">
      <alignment/>
    </xf>
    <xf numFmtId="195" fontId="6" fillId="34" borderId="14" xfId="0" applyNumberFormat="1" applyFont="1" applyFill="1" applyBorder="1" applyAlignment="1" applyProtection="1">
      <alignment/>
      <protection locked="0"/>
    </xf>
    <xf numFmtId="195" fontId="6" fillId="0" borderId="0" xfId="0" applyNumberFormat="1" applyFont="1" applyBorder="1" applyAlignment="1">
      <alignment/>
    </xf>
    <xf numFmtId="0" fontId="2" fillId="34" borderId="14" xfId="45" applyFont="1" applyFill="1" applyBorder="1" applyAlignment="1" applyProtection="1">
      <alignment/>
      <protection locked="0"/>
    </xf>
    <xf numFmtId="0" fontId="6" fillId="34" borderId="23" xfId="0" applyFont="1" applyFill="1" applyBorder="1" applyAlignment="1" applyProtection="1">
      <alignment/>
      <protection locked="0"/>
    </xf>
    <xf numFmtId="16" fontId="0" fillId="33" borderId="14" xfId="0" applyNumberFormat="1" applyFill="1" applyBorder="1" applyAlignment="1">
      <alignment/>
    </xf>
    <xf numFmtId="0" fontId="0" fillId="0" borderId="18" xfId="0" applyFont="1" applyBorder="1" applyAlignment="1" applyProtection="1">
      <alignment/>
      <protection locked="0"/>
    </xf>
    <xf numFmtId="0" fontId="0" fillId="0" borderId="0" xfId="0" applyFont="1" applyBorder="1" applyAlignment="1">
      <alignment/>
    </xf>
    <xf numFmtId="0" fontId="0" fillId="0" borderId="18" xfId="0" applyFont="1" applyBorder="1" applyAlignment="1">
      <alignment horizontal="center"/>
    </xf>
    <xf numFmtId="0" fontId="0" fillId="0" borderId="15" xfId="0" applyFont="1" applyBorder="1" applyAlignment="1">
      <alignment/>
    </xf>
    <xf numFmtId="0" fontId="0" fillId="34" borderId="18" xfId="0" applyFont="1" applyFill="1" applyBorder="1" applyAlignment="1" applyProtection="1">
      <alignment/>
      <protection locked="0"/>
    </xf>
    <xf numFmtId="0" fontId="0" fillId="0" borderId="10" xfId="0" applyFont="1" applyBorder="1" applyAlignment="1">
      <alignment/>
    </xf>
    <xf numFmtId="0" fontId="0" fillId="0" borderId="19" xfId="0" applyFont="1" applyBorder="1" applyAlignment="1">
      <alignment/>
    </xf>
    <xf numFmtId="0" fontId="0" fillId="34" borderId="19" xfId="0" applyFont="1" applyFill="1" applyBorder="1" applyAlignment="1" applyProtection="1">
      <alignment/>
      <protection locked="0"/>
    </xf>
    <xf numFmtId="0" fontId="0" fillId="0" borderId="12" xfId="0" applyFont="1" applyBorder="1" applyAlignment="1">
      <alignment/>
    </xf>
    <xf numFmtId="0" fontId="0" fillId="34" borderId="21" xfId="0" applyFont="1" applyFill="1" applyBorder="1" applyAlignment="1" applyProtection="1">
      <alignment/>
      <protection locked="0"/>
    </xf>
    <xf numFmtId="0" fontId="0" fillId="0" borderId="20" xfId="0" applyFont="1" applyBorder="1" applyAlignment="1">
      <alignment/>
    </xf>
    <xf numFmtId="0" fontId="0" fillId="0" borderId="21" xfId="0" applyFont="1" applyBorder="1" applyAlignment="1">
      <alignment/>
    </xf>
    <xf numFmtId="0" fontId="0" fillId="0" borderId="14" xfId="0" applyFont="1" applyFill="1" applyBorder="1" applyAlignment="1">
      <alignment/>
    </xf>
    <xf numFmtId="0" fontId="0" fillId="0" borderId="18" xfId="0" applyFont="1" applyBorder="1" applyAlignment="1">
      <alignment/>
    </xf>
    <xf numFmtId="0" fontId="0" fillId="0" borderId="17" xfId="0" applyFont="1" applyBorder="1" applyAlignment="1">
      <alignment/>
    </xf>
    <xf numFmtId="49" fontId="0" fillId="0" borderId="0" xfId="0" applyNumberFormat="1" applyFont="1" applyAlignment="1">
      <alignment/>
    </xf>
    <xf numFmtId="0" fontId="0" fillId="0" borderId="0" xfId="0" applyFont="1" applyFill="1" applyBorder="1" applyAlignment="1">
      <alignment/>
    </xf>
    <xf numFmtId="1" fontId="0" fillId="0" borderId="0" xfId="0" applyNumberFormat="1" applyFont="1" applyAlignment="1">
      <alignment/>
    </xf>
    <xf numFmtId="0" fontId="0" fillId="0" borderId="0" xfId="0" applyFont="1" applyFill="1" applyBorder="1" applyAlignment="1">
      <alignment vertical="top"/>
    </xf>
    <xf numFmtId="0" fontId="0" fillId="0" borderId="24"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 fontId="0" fillId="0" borderId="11" xfId="0" applyNumberFormat="1" applyFont="1" applyBorder="1" applyAlignment="1">
      <alignment/>
    </xf>
    <xf numFmtId="1" fontId="0" fillId="0" borderId="23" xfId="0" applyNumberFormat="1" applyFont="1" applyBorder="1" applyAlignment="1">
      <alignment/>
    </xf>
    <xf numFmtId="170" fontId="0" fillId="0" borderId="11" xfId="0" applyNumberFormat="1" applyFont="1" applyBorder="1" applyAlignment="1">
      <alignment/>
    </xf>
    <xf numFmtId="170" fontId="0" fillId="0" borderId="23" xfId="0" applyNumberFormat="1" applyFont="1" applyBorder="1" applyAlignment="1">
      <alignment/>
    </xf>
    <xf numFmtId="170" fontId="0" fillId="0" borderId="20" xfId="0" applyNumberFormat="1" applyFont="1" applyBorder="1" applyAlignment="1">
      <alignment/>
    </xf>
    <xf numFmtId="170" fontId="0" fillId="0" borderId="0" xfId="0" applyNumberFormat="1" applyFont="1" applyBorder="1" applyAlignment="1">
      <alignment/>
    </xf>
    <xf numFmtId="170" fontId="0" fillId="0" borderId="11" xfId="0" applyNumberFormat="1" applyFont="1" applyBorder="1" applyAlignment="1">
      <alignment horizontal="right"/>
    </xf>
    <xf numFmtId="170" fontId="0" fillId="0" borderId="0" xfId="0" applyNumberFormat="1" applyFont="1" applyBorder="1" applyAlignment="1">
      <alignment horizontal="right"/>
    </xf>
    <xf numFmtId="170" fontId="0" fillId="0" borderId="23" xfId="0" applyNumberFormat="1" applyFont="1" applyBorder="1" applyAlignment="1">
      <alignment horizontal="right"/>
    </xf>
    <xf numFmtId="0" fontId="0" fillId="0" borderId="13" xfId="0" applyFont="1" applyBorder="1" applyAlignment="1">
      <alignment/>
    </xf>
    <xf numFmtId="0" fontId="0" fillId="0" borderId="14" xfId="0" applyFont="1" applyBorder="1" applyAlignment="1">
      <alignment/>
    </xf>
    <xf numFmtId="0" fontId="0" fillId="0" borderId="21" xfId="0" applyFont="1" applyFill="1" applyBorder="1" applyAlignment="1">
      <alignment/>
    </xf>
    <xf numFmtId="0" fontId="0" fillId="36" borderId="0" xfId="0" applyFont="1" applyFill="1" applyAlignment="1">
      <alignment/>
    </xf>
    <xf numFmtId="170" fontId="0" fillId="0" borderId="19" xfId="0" applyNumberFormat="1" applyFont="1" applyBorder="1" applyAlignment="1">
      <alignment/>
    </xf>
    <xf numFmtId="170" fontId="0" fillId="0" borderId="22" xfId="0" applyNumberFormat="1" applyFont="1" applyBorder="1" applyAlignment="1">
      <alignment/>
    </xf>
    <xf numFmtId="170" fontId="0" fillId="0" borderId="18" xfId="0" applyNumberFormat="1" applyFont="1" applyBorder="1" applyAlignment="1">
      <alignment/>
    </xf>
    <xf numFmtId="170" fontId="0" fillId="0" borderId="21" xfId="0" applyNumberFormat="1" applyFont="1" applyBorder="1" applyAlignment="1">
      <alignment/>
    </xf>
    <xf numFmtId="170" fontId="0" fillId="0" borderId="14" xfId="0" applyNumberFormat="1" applyFont="1" applyBorder="1" applyAlignment="1">
      <alignment/>
    </xf>
    <xf numFmtId="170" fontId="0" fillId="0" borderId="0" xfId="0" applyNumberFormat="1" applyFont="1" applyAlignment="1">
      <alignment/>
    </xf>
    <xf numFmtId="0" fontId="61" fillId="0" borderId="0" xfId="0" applyFont="1" applyAlignment="1">
      <alignment/>
    </xf>
    <xf numFmtId="0" fontId="62" fillId="0" borderId="0" xfId="0" applyFont="1" applyBorder="1" applyAlignment="1">
      <alignment/>
    </xf>
    <xf numFmtId="0" fontId="62" fillId="0" borderId="0" xfId="0" applyFont="1" applyAlignment="1">
      <alignment/>
    </xf>
    <xf numFmtId="195" fontId="0" fillId="0" borderId="0" xfId="0" applyNumberFormat="1" applyFont="1" applyAlignment="1">
      <alignment/>
    </xf>
    <xf numFmtId="0" fontId="0" fillId="37" borderId="14" xfId="0" applyFill="1" applyBorder="1" applyAlignment="1">
      <alignment/>
    </xf>
    <xf numFmtId="0" fontId="2" fillId="37" borderId="14" xfId="45" applyFill="1" applyBorder="1" applyAlignment="1" applyProtection="1">
      <alignment/>
      <protection/>
    </xf>
    <xf numFmtId="0" fontId="63" fillId="0" borderId="19" xfId="0" applyFont="1" applyBorder="1" applyAlignment="1">
      <alignment/>
    </xf>
    <xf numFmtId="0" fontId="63" fillId="0" borderId="0" xfId="0" applyFont="1" applyAlignment="1">
      <alignment/>
    </xf>
    <xf numFmtId="0" fontId="63" fillId="0" borderId="0" xfId="0" applyFont="1" applyBorder="1" applyAlignment="1">
      <alignment/>
    </xf>
    <xf numFmtId="1" fontId="6" fillId="0" borderId="21" xfId="0" applyNumberFormat="1" applyFont="1" applyFill="1" applyBorder="1" applyAlignment="1">
      <alignment/>
    </xf>
    <xf numFmtId="0" fontId="0" fillId="0" borderId="0" xfId="0" applyFont="1" applyAlignment="1" applyProtection="1">
      <alignment/>
      <protection locked="0"/>
    </xf>
    <xf numFmtId="0" fontId="0" fillId="0" borderId="19" xfId="0" applyFont="1" applyBorder="1" applyAlignment="1" applyProtection="1">
      <alignment/>
      <protection locked="0"/>
    </xf>
    <xf numFmtId="16" fontId="0" fillId="0" borderId="21" xfId="0" applyNumberFormat="1" applyFont="1" applyBorder="1" applyAlignment="1" applyProtection="1">
      <alignment/>
      <protection locked="0"/>
    </xf>
    <xf numFmtId="16" fontId="0" fillId="34" borderId="21" xfId="0" applyNumberFormat="1" applyFont="1" applyFill="1" applyBorder="1" applyAlignment="1" applyProtection="1">
      <alignment/>
      <protection locked="0"/>
    </xf>
    <xf numFmtId="0" fontId="0" fillId="0" borderId="21" xfId="0" applyFont="1" applyBorder="1" applyAlignment="1" applyProtection="1">
      <alignment/>
      <protection locked="0"/>
    </xf>
    <xf numFmtId="2" fontId="0" fillId="0" borderId="18" xfId="0" applyNumberFormat="1" applyFont="1" applyBorder="1" applyAlignment="1" applyProtection="1">
      <alignment/>
      <protection locked="0"/>
    </xf>
    <xf numFmtId="1" fontId="0" fillId="0" borderId="21"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7" xfId="0" applyFont="1" applyBorder="1" applyAlignment="1" applyProtection="1">
      <alignment/>
      <protection locked="0"/>
    </xf>
    <xf numFmtId="0" fontId="0" fillId="2" borderId="15" xfId="0" applyFill="1" applyBorder="1" applyAlignment="1">
      <alignment/>
    </xf>
    <xf numFmtId="0" fontId="0" fillId="2" borderId="16" xfId="0" applyFill="1" applyBorder="1" applyAlignment="1">
      <alignment/>
    </xf>
    <xf numFmtId="0" fontId="1" fillId="2" borderId="16" xfId="0" applyFont="1" applyFill="1" applyBorder="1" applyAlignment="1">
      <alignment horizontal="center"/>
    </xf>
    <xf numFmtId="0" fontId="1" fillId="2" borderId="10" xfId="0" applyFont="1" applyFill="1" applyBorder="1" applyAlignment="1">
      <alignment/>
    </xf>
    <xf numFmtId="0" fontId="0" fillId="2" borderId="0" xfId="0" applyFill="1" applyAlignment="1">
      <alignment/>
    </xf>
    <xf numFmtId="0" fontId="0" fillId="2" borderId="18" xfId="0" applyFill="1" applyBorder="1" applyAlignment="1">
      <alignment vertical="top" wrapText="1"/>
    </xf>
    <xf numFmtId="0" fontId="0" fillId="2" borderId="11" xfId="0" applyFill="1" applyBorder="1" applyAlignment="1">
      <alignment/>
    </xf>
    <xf numFmtId="180" fontId="0" fillId="2" borderId="20" xfId="0" applyNumberFormat="1" applyFill="1" applyBorder="1" applyAlignment="1">
      <alignment/>
    </xf>
    <xf numFmtId="170" fontId="0" fillId="2" borderId="20" xfId="0" applyNumberFormat="1" applyFill="1" applyBorder="1" applyAlignment="1">
      <alignment/>
    </xf>
    <xf numFmtId="0" fontId="0" fillId="2" borderId="12" xfId="0" applyFill="1" applyBorder="1" applyAlignment="1">
      <alignment/>
    </xf>
    <xf numFmtId="0" fontId="1" fillId="2" borderId="15" xfId="0" applyFont="1" applyFill="1" applyBorder="1" applyAlignment="1">
      <alignment/>
    </xf>
    <xf numFmtId="0" fontId="1" fillId="2" borderId="16" xfId="0" applyFont="1" applyFill="1" applyBorder="1" applyAlignment="1">
      <alignment/>
    </xf>
    <xf numFmtId="0" fontId="1" fillId="2" borderId="17" xfId="0" applyFont="1" applyFill="1" applyBorder="1" applyAlignment="1">
      <alignment/>
    </xf>
    <xf numFmtId="170" fontId="1" fillId="2" borderId="18" xfId="0" applyNumberFormat="1" applyFont="1" applyFill="1" applyBorder="1" applyAlignment="1">
      <alignment/>
    </xf>
    <xf numFmtId="0" fontId="0" fillId="2" borderId="17" xfId="0" applyFill="1" applyBorder="1" applyAlignment="1">
      <alignment/>
    </xf>
    <xf numFmtId="0" fontId="1" fillId="2" borderId="0" xfId="0" applyFont="1" applyFill="1" applyAlignment="1">
      <alignment/>
    </xf>
    <xf numFmtId="0" fontId="0" fillId="3" borderId="15" xfId="0" applyFill="1" applyBorder="1" applyAlignment="1">
      <alignment/>
    </xf>
    <xf numFmtId="0" fontId="0" fillId="3" borderId="16" xfId="0" applyFill="1" applyBorder="1" applyAlignment="1">
      <alignment/>
    </xf>
    <xf numFmtId="0" fontId="1" fillId="3" borderId="16" xfId="0" applyFont="1" applyFill="1" applyBorder="1" applyAlignment="1">
      <alignment/>
    </xf>
    <xf numFmtId="0" fontId="0" fillId="3" borderId="17" xfId="0" applyFill="1" applyBorder="1" applyAlignment="1">
      <alignment/>
    </xf>
    <xf numFmtId="0" fontId="1" fillId="3" borderId="10" xfId="0" applyFont="1" applyFill="1" applyBorder="1" applyAlignment="1">
      <alignment/>
    </xf>
    <xf numFmtId="0" fontId="0" fillId="3" borderId="24" xfId="0" applyFill="1" applyBorder="1" applyAlignment="1">
      <alignment/>
    </xf>
    <xf numFmtId="0" fontId="0" fillId="3" borderId="22" xfId="0" applyFill="1" applyBorder="1" applyAlignment="1">
      <alignment/>
    </xf>
    <xf numFmtId="0" fontId="0" fillId="3" borderId="18" xfId="0" applyFill="1" applyBorder="1" applyAlignment="1">
      <alignment vertical="top" wrapText="1"/>
    </xf>
    <xf numFmtId="0" fontId="0" fillId="3" borderId="11" xfId="0" applyFill="1" applyBorder="1" applyAlignment="1">
      <alignment/>
    </xf>
    <xf numFmtId="0" fontId="0" fillId="3" borderId="0" xfId="0" applyFill="1" applyAlignment="1">
      <alignment/>
    </xf>
    <xf numFmtId="170" fontId="0" fillId="3" borderId="19" xfId="0" applyNumberFormat="1" applyFill="1" applyBorder="1" applyAlignment="1">
      <alignment/>
    </xf>
    <xf numFmtId="170" fontId="0" fillId="3" borderId="20" xfId="0" applyNumberFormat="1" applyFill="1" applyBorder="1" applyAlignment="1">
      <alignment/>
    </xf>
    <xf numFmtId="0" fontId="0" fillId="3" borderId="0" xfId="0" applyFill="1" applyBorder="1" applyAlignment="1">
      <alignment/>
    </xf>
    <xf numFmtId="0" fontId="0" fillId="3" borderId="23" xfId="0" applyFill="1" applyBorder="1" applyAlignment="1">
      <alignment/>
    </xf>
    <xf numFmtId="0" fontId="1" fillId="3" borderId="15" xfId="0" applyFont="1" applyFill="1" applyBorder="1" applyAlignment="1">
      <alignment/>
    </xf>
    <xf numFmtId="0" fontId="1" fillId="3" borderId="17" xfId="0" applyFont="1" applyFill="1" applyBorder="1" applyAlignment="1">
      <alignment/>
    </xf>
    <xf numFmtId="170" fontId="1" fillId="3" borderId="18" xfId="0" applyNumberFormat="1" applyFont="1" applyFill="1" applyBorder="1" applyAlignment="1">
      <alignment/>
    </xf>
    <xf numFmtId="0" fontId="0" fillId="10" borderId="15" xfId="0" applyFill="1" applyBorder="1" applyAlignment="1">
      <alignment/>
    </xf>
    <xf numFmtId="0" fontId="0" fillId="10" borderId="16" xfId="0" applyFill="1" applyBorder="1" applyAlignment="1">
      <alignment/>
    </xf>
    <xf numFmtId="0" fontId="1" fillId="10" borderId="16" xfId="0" applyFont="1" applyFill="1" applyBorder="1" applyAlignment="1">
      <alignment/>
    </xf>
    <xf numFmtId="0" fontId="0" fillId="10" borderId="17" xfId="0" applyFill="1" applyBorder="1" applyAlignment="1">
      <alignment/>
    </xf>
    <xf numFmtId="0" fontId="1" fillId="10" borderId="10" xfId="0" applyFont="1" applyFill="1" applyBorder="1" applyAlignment="1">
      <alignment/>
    </xf>
    <xf numFmtId="0" fontId="0" fillId="10" borderId="24" xfId="0" applyFill="1" applyBorder="1" applyAlignment="1">
      <alignment/>
    </xf>
    <xf numFmtId="0" fontId="0" fillId="10" borderId="22" xfId="0" applyFill="1" applyBorder="1" applyAlignment="1">
      <alignment/>
    </xf>
    <xf numFmtId="0" fontId="0" fillId="10" borderId="18" xfId="0" applyFill="1" applyBorder="1" applyAlignment="1">
      <alignment vertical="top" wrapText="1"/>
    </xf>
    <xf numFmtId="0" fontId="0" fillId="10" borderId="11" xfId="0" applyFill="1" applyBorder="1" applyAlignment="1">
      <alignment/>
    </xf>
    <xf numFmtId="0" fontId="0" fillId="10" borderId="0" xfId="0" applyFill="1" applyAlignment="1">
      <alignment/>
    </xf>
    <xf numFmtId="170" fontId="0" fillId="10" borderId="19" xfId="0" applyNumberFormat="1" applyFill="1" applyBorder="1" applyAlignment="1">
      <alignment/>
    </xf>
    <xf numFmtId="170" fontId="0" fillId="10" borderId="0" xfId="0" applyNumberFormat="1" applyFill="1" applyAlignment="1">
      <alignment/>
    </xf>
    <xf numFmtId="170" fontId="0" fillId="10" borderId="20" xfId="0" applyNumberFormat="1"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10" borderId="23" xfId="0" applyFill="1" applyBorder="1" applyAlignment="1">
      <alignment horizontal="left"/>
    </xf>
    <xf numFmtId="0" fontId="1" fillId="10" borderId="15" xfId="0" applyFont="1" applyFill="1" applyBorder="1" applyAlignment="1">
      <alignment/>
    </xf>
    <xf numFmtId="0" fontId="1" fillId="10" borderId="17" xfId="0" applyFont="1" applyFill="1" applyBorder="1" applyAlignment="1">
      <alignment/>
    </xf>
    <xf numFmtId="170" fontId="1" fillId="10" borderId="18" xfId="0" applyNumberFormat="1" applyFont="1" applyFill="1" applyBorder="1" applyAlignment="1">
      <alignment/>
    </xf>
    <xf numFmtId="0" fontId="0" fillId="3" borderId="17" xfId="0" applyFill="1" applyBorder="1" applyAlignment="1">
      <alignment vertical="top" wrapText="1"/>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15" fontId="6" fillId="0" borderId="0" xfId="0" applyNumberFormat="1" applyFont="1" applyAlignment="1">
      <alignment horizontal="left"/>
    </xf>
    <xf numFmtId="0" fontId="0" fillId="0" borderId="0" xfId="0" applyAlignment="1">
      <alignment horizontal="left"/>
    </xf>
    <xf numFmtId="0" fontId="6" fillId="38" borderId="0" xfId="0" applyFont="1" applyFill="1" applyAlignment="1" applyProtection="1">
      <alignment/>
      <protection locked="0"/>
    </xf>
    <xf numFmtId="0" fontId="0" fillId="0" borderId="0" xfId="0" applyAlignment="1">
      <alignment/>
    </xf>
    <xf numFmtId="0" fontId="6" fillId="0" borderId="0" xfId="0" applyFont="1" applyAlignment="1">
      <alignment wrapText="1"/>
    </xf>
    <xf numFmtId="0" fontId="20" fillId="0" borderId="15" xfId="0" applyFont="1" applyBorder="1" applyAlignment="1">
      <alignment/>
    </xf>
    <xf numFmtId="0" fontId="20" fillId="0" borderId="16" xfId="0" applyFont="1" applyBorder="1" applyAlignment="1">
      <alignment/>
    </xf>
    <xf numFmtId="0" fontId="20" fillId="0" borderId="17" xfId="0" applyFont="1" applyBorder="1" applyAlignment="1">
      <alignment/>
    </xf>
    <xf numFmtId="0" fontId="0" fillId="0" borderId="10"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8" xfId="0" applyFont="1" applyFill="1" applyBorder="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133</xdr:row>
      <xdr:rowOff>0</xdr:rowOff>
    </xdr:from>
    <xdr:to>
      <xdr:col>10</xdr:col>
      <xdr:colOff>0</xdr:colOff>
      <xdr:row>135</xdr:row>
      <xdr:rowOff>161925</xdr:rowOff>
    </xdr:to>
    <xdr:sp>
      <xdr:nvSpPr>
        <xdr:cNvPr id="1" name="Line 23"/>
        <xdr:cNvSpPr>
          <a:spLocks/>
        </xdr:cNvSpPr>
      </xdr:nvSpPr>
      <xdr:spPr>
        <a:xfrm flipV="1">
          <a:off x="0" y="27927300"/>
          <a:ext cx="9848850" cy="552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0</xdr:rowOff>
    </xdr:from>
    <xdr:to>
      <xdr:col>5</xdr:col>
      <xdr:colOff>0</xdr:colOff>
      <xdr:row>15</xdr:row>
      <xdr:rowOff>219075</xdr:rowOff>
    </xdr:to>
    <xdr:sp>
      <xdr:nvSpPr>
        <xdr:cNvPr id="1" name="Line 269"/>
        <xdr:cNvSpPr>
          <a:spLocks/>
        </xdr:cNvSpPr>
      </xdr:nvSpPr>
      <xdr:spPr>
        <a:xfrm flipV="1">
          <a:off x="9525" y="2971800"/>
          <a:ext cx="4629150" cy="676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J144"/>
  <sheetViews>
    <sheetView showGridLines="0" tabSelected="1" zoomScalePageLayoutView="0" workbookViewId="0" topLeftCell="A4">
      <selection activeCell="C42" sqref="C42"/>
    </sheetView>
  </sheetViews>
  <sheetFormatPr defaultColWidth="10.8515625" defaultRowHeight="12.75"/>
  <cols>
    <col min="1" max="1" width="26.28125" style="11" customWidth="1"/>
    <col min="2" max="2" width="9.00390625" style="11" customWidth="1"/>
    <col min="3" max="3" width="30.421875" style="11" customWidth="1"/>
    <col min="4" max="10" width="11.7109375" style="11" customWidth="1"/>
    <col min="11" max="16384" width="10.8515625" style="11" customWidth="1"/>
  </cols>
  <sheetData>
    <row r="1" spans="1:10" ht="18">
      <c r="A1" s="9" t="s">
        <v>181</v>
      </c>
      <c r="C1" s="10"/>
      <c r="E1" s="67"/>
      <c r="F1" s="67"/>
      <c r="G1" s="67"/>
      <c r="H1" s="67"/>
      <c r="I1" s="67"/>
      <c r="J1" s="186"/>
    </row>
    <row r="2" spans="1:10" ht="15.75">
      <c r="A2" s="184" t="s">
        <v>465</v>
      </c>
      <c r="B2" s="185">
        <v>2015</v>
      </c>
      <c r="C2" s="10"/>
      <c r="E2" s="67"/>
      <c r="F2" s="67"/>
      <c r="G2" s="67"/>
      <c r="H2" s="67"/>
      <c r="I2" s="67"/>
      <c r="J2" s="186"/>
    </row>
    <row r="3" ht="15"/>
    <row r="4" spans="4:10" ht="15.75">
      <c r="D4" s="187" t="s">
        <v>442</v>
      </c>
      <c r="E4" s="187" t="s">
        <v>152</v>
      </c>
      <c r="F4" s="187" t="s">
        <v>453</v>
      </c>
      <c r="G4" s="187" t="s">
        <v>273</v>
      </c>
      <c r="H4" s="187" t="s">
        <v>6</v>
      </c>
      <c r="I4" s="187" t="s">
        <v>12</v>
      </c>
      <c r="J4" s="187" t="s">
        <v>390</v>
      </c>
    </row>
    <row r="5" spans="1:10" ht="15.75">
      <c r="A5" s="13" t="s">
        <v>454</v>
      </c>
      <c r="B5" s="17"/>
      <c r="C5" s="18" t="s">
        <v>269</v>
      </c>
      <c r="D5" s="187" t="s">
        <v>233</v>
      </c>
      <c r="E5" s="187" t="s">
        <v>233</v>
      </c>
      <c r="F5" s="187" t="s">
        <v>13</v>
      </c>
      <c r="G5" s="187" t="s">
        <v>13</v>
      </c>
      <c r="H5" s="187" t="s">
        <v>13</v>
      </c>
      <c r="I5" s="187" t="s">
        <v>13</v>
      </c>
      <c r="J5" s="187" t="s">
        <v>233</v>
      </c>
    </row>
    <row r="6" spans="1:10" ht="15.75">
      <c r="A6" s="20" t="s">
        <v>52</v>
      </c>
      <c r="B6" s="24" t="s">
        <v>304</v>
      </c>
      <c r="C6" s="177" t="s">
        <v>493</v>
      </c>
      <c r="D6" s="183">
        <v>143</v>
      </c>
      <c r="E6" s="183">
        <v>143</v>
      </c>
      <c r="F6" s="347">
        <v>143</v>
      </c>
      <c r="G6" s="183">
        <v>143</v>
      </c>
      <c r="H6" s="183">
        <v>143</v>
      </c>
      <c r="I6" s="183">
        <v>143</v>
      </c>
      <c r="J6" s="183">
        <v>143</v>
      </c>
    </row>
    <row r="7" spans="1:10" ht="30">
      <c r="A7" s="176" t="s">
        <v>489</v>
      </c>
      <c r="B7" s="26" t="s">
        <v>78</v>
      </c>
      <c r="C7" s="178"/>
      <c r="D7" s="22"/>
      <c r="E7" s="22"/>
      <c r="F7" s="22"/>
      <c r="G7" s="22"/>
      <c r="H7" s="22"/>
      <c r="I7" s="22"/>
      <c r="J7" s="22"/>
    </row>
    <row r="8" spans="1:10" ht="15">
      <c r="A8" s="22"/>
      <c r="B8" s="26" t="s">
        <v>271</v>
      </c>
      <c r="C8" s="178"/>
      <c r="D8" s="22"/>
      <c r="E8" s="22"/>
      <c r="F8" s="22"/>
      <c r="G8" s="22"/>
      <c r="H8" s="22"/>
      <c r="I8" s="22"/>
      <c r="J8" s="22"/>
    </row>
    <row r="9" spans="1:10" ht="15">
      <c r="A9" s="22"/>
      <c r="B9" s="26" t="s">
        <v>270</v>
      </c>
      <c r="C9" s="178"/>
      <c r="D9" s="22"/>
      <c r="E9" s="22"/>
      <c r="F9" s="22"/>
      <c r="G9" s="22"/>
      <c r="H9" s="22"/>
      <c r="I9" s="22"/>
      <c r="J9" s="22"/>
    </row>
    <row r="10" spans="1:10" ht="15">
      <c r="A10" s="23"/>
      <c r="B10" s="28" t="s">
        <v>1</v>
      </c>
      <c r="C10" s="179"/>
      <c r="D10" s="188">
        <v>1000</v>
      </c>
      <c r="E10" s="188">
        <v>1000</v>
      </c>
      <c r="F10" s="349">
        <v>1000</v>
      </c>
      <c r="G10" s="188">
        <v>1000</v>
      </c>
      <c r="H10" s="188">
        <v>1000</v>
      </c>
      <c r="I10" s="188">
        <v>1000</v>
      </c>
      <c r="J10" s="188">
        <v>1000</v>
      </c>
    </row>
    <row r="11" spans="1:10" ht="15.75">
      <c r="A11" s="20" t="s">
        <v>408</v>
      </c>
      <c r="B11" s="24" t="s">
        <v>304</v>
      </c>
      <c r="C11" s="177" t="s">
        <v>493</v>
      </c>
      <c r="D11" s="183">
        <v>162</v>
      </c>
      <c r="E11" s="183">
        <v>162</v>
      </c>
      <c r="F11" s="348">
        <v>162</v>
      </c>
      <c r="G11" s="183">
        <v>162</v>
      </c>
      <c r="H11" s="183">
        <v>162</v>
      </c>
      <c r="I11" s="183">
        <v>162</v>
      </c>
      <c r="J11" s="183">
        <v>162</v>
      </c>
    </row>
    <row r="12" spans="1:10" ht="30">
      <c r="A12" s="176" t="s">
        <v>490</v>
      </c>
      <c r="B12" s="26" t="s">
        <v>78</v>
      </c>
      <c r="C12" s="178"/>
      <c r="D12" s="22"/>
      <c r="E12" s="22"/>
      <c r="F12" s="98"/>
      <c r="G12" s="22"/>
      <c r="H12" s="22"/>
      <c r="I12" s="22"/>
      <c r="J12" s="22"/>
    </row>
    <row r="13" spans="1:10" ht="15">
      <c r="A13" s="22"/>
      <c r="B13" s="26" t="s">
        <v>271</v>
      </c>
      <c r="C13" s="178"/>
      <c r="D13" s="22"/>
      <c r="E13" s="22"/>
      <c r="F13" s="98"/>
      <c r="G13" s="22"/>
      <c r="H13" s="22"/>
      <c r="I13" s="22"/>
      <c r="J13" s="22"/>
    </row>
    <row r="14" spans="1:10" ht="15">
      <c r="A14" s="22"/>
      <c r="B14" s="26" t="s">
        <v>270</v>
      </c>
      <c r="C14" s="178"/>
      <c r="D14" s="22"/>
      <c r="E14" s="22"/>
      <c r="F14" s="98"/>
      <c r="G14" s="22"/>
      <c r="H14" s="22"/>
      <c r="I14" s="22"/>
      <c r="J14" s="22"/>
    </row>
    <row r="15" spans="1:10" ht="15">
      <c r="A15" s="23"/>
      <c r="B15" s="28" t="s">
        <v>1</v>
      </c>
      <c r="C15" s="179"/>
      <c r="D15" s="89">
        <f aca="true" t="shared" si="0" ref="D15:J15">D10</f>
        <v>1000</v>
      </c>
      <c r="E15" s="89">
        <f t="shared" si="0"/>
        <v>1000</v>
      </c>
      <c r="F15" s="89">
        <f t="shared" si="0"/>
        <v>1000</v>
      </c>
      <c r="G15" s="89">
        <f t="shared" si="0"/>
        <v>1000</v>
      </c>
      <c r="H15" s="89">
        <f t="shared" si="0"/>
        <v>1000</v>
      </c>
      <c r="I15" s="89">
        <f t="shared" si="0"/>
        <v>1000</v>
      </c>
      <c r="J15" s="89">
        <f t="shared" si="0"/>
        <v>1000</v>
      </c>
    </row>
    <row r="16" spans="1:10" ht="15.75">
      <c r="A16" s="20" t="s">
        <v>53</v>
      </c>
      <c r="B16" s="24" t="s">
        <v>304</v>
      </c>
      <c r="C16" s="177" t="s">
        <v>494</v>
      </c>
      <c r="D16" s="183">
        <v>91</v>
      </c>
      <c r="E16" s="183">
        <v>91</v>
      </c>
      <c r="F16" s="347">
        <v>91</v>
      </c>
      <c r="G16" s="183">
        <v>91</v>
      </c>
      <c r="H16" s="183">
        <v>91</v>
      </c>
      <c r="I16" s="183">
        <v>91</v>
      </c>
      <c r="J16" s="183">
        <v>91</v>
      </c>
    </row>
    <row r="17" spans="1:10" ht="15">
      <c r="A17" s="176" t="s">
        <v>487</v>
      </c>
      <c r="B17" s="26" t="s">
        <v>78</v>
      </c>
      <c r="C17" s="178"/>
      <c r="D17" s="22"/>
      <c r="E17" s="22"/>
      <c r="F17" s="98"/>
      <c r="G17" s="22"/>
      <c r="H17" s="22"/>
      <c r="I17" s="22"/>
      <c r="J17" s="22"/>
    </row>
    <row r="18" spans="1:10" ht="15">
      <c r="A18" s="22"/>
      <c r="B18" s="26" t="s">
        <v>271</v>
      </c>
      <c r="C18" s="178"/>
      <c r="D18" s="22"/>
      <c r="E18" s="22"/>
      <c r="F18" s="98"/>
      <c r="G18" s="22"/>
      <c r="H18" s="22"/>
      <c r="I18" s="22"/>
      <c r="J18" s="22"/>
    </row>
    <row r="19" spans="1:10" ht="15">
      <c r="A19" s="22"/>
      <c r="B19" s="26" t="s">
        <v>270</v>
      </c>
      <c r="C19" s="178"/>
      <c r="D19" s="22"/>
      <c r="E19" s="22"/>
      <c r="F19" s="98"/>
      <c r="G19" s="22"/>
      <c r="H19" s="22"/>
      <c r="I19" s="22"/>
      <c r="J19" s="22"/>
    </row>
    <row r="20" spans="1:10" ht="15">
      <c r="A20" s="23"/>
      <c r="B20" s="28" t="s">
        <v>1</v>
      </c>
      <c r="C20" s="179"/>
      <c r="D20" s="89">
        <f aca="true" t="shared" si="1" ref="D20:J20">D10</f>
        <v>1000</v>
      </c>
      <c r="E20" s="89">
        <f t="shared" si="1"/>
        <v>1000</v>
      </c>
      <c r="F20" s="89">
        <f t="shared" si="1"/>
        <v>1000</v>
      </c>
      <c r="G20" s="89">
        <f t="shared" si="1"/>
        <v>1000</v>
      </c>
      <c r="H20" s="89">
        <f t="shared" si="1"/>
        <v>1000</v>
      </c>
      <c r="I20" s="89">
        <f t="shared" si="1"/>
        <v>1000</v>
      </c>
      <c r="J20" s="89">
        <f t="shared" si="1"/>
        <v>1000</v>
      </c>
    </row>
    <row r="21" spans="1:10" ht="15.75">
      <c r="A21" s="20" t="s">
        <v>300</v>
      </c>
      <c r="B21" s="24" t="s">
        <v>304</v>
      </c>
      <c r="C21" s="177" t="s">
        <v>495</v>
      </c>
      <c r="D21" s="183">
        <v>181</v>
      </c>
      <c r="E21" s="183">
        <v>181</v>
      </c>
      <c r="F21" s="347">
        <v>181</v>
      </c>
      <c r="G21" s="183">
        <v>181</v>
      </c>
      <c r="H21" s="183">
        <v>181</v>
      </c>
      <c r="I21" s="183">
        <v>181</v>
      </c>
      <c r="J21" s="183">
        <v>181</v>
      </c>
    </row>
    <row r="22" spans="1:10" ht="30">
      <c r="A22" s="176" t="s">
        <v>466</v>
      </c>
      <c r="B22" s="26" t="s">
        <v>78</v>
      </c>
      <c r="C22" s="178"/>
      <c r="D22" s="22"/>
      <c r="E22" s="22"/>
      <c r="F22" s="98"/>
      <c r="G22" s="22"/>
      <c r="H22" s="22"/>
      <c r="I22" s="22"/>
      <c r="J22" s="22"/>
    </row>
    <row r="23" spans="1:10" ht="15">
      <c r="A23" s="22"/>
      <c r="B23" s="26" t="s">
        <v>271</v>
      </c>
      <c r="C23" s="178"/>
      <c r="D23" s="22"/>
      <c r="E23" s="22"/>
      <c r="F23" s="98"/>
      <c r="G23" s="22"/>
      <c r="H23" s="22"/>
      <c r="I23" s="22"/>
      <c r="J23" s="22"/>
    </row>
    <row r="24" spans="1:10" ht="15">
      <c r="A24" s="22"/>
      <c r="B24" s="26" t="s">
        <v>270</v>
      </c>
      <c r="C24" s="178"/>
      <c r="D24" s="22"/>
      <c r="E24" s="22"/>
      <c r="F24" s="98"/>
      <c r="G24" s="22"/>
      <c r="H24" s="22"/>
      <c r="I24" s="22"/>
      <c r="J24" s="22"/>
    </row>
    <row r="25" spans="1:10" ht="15">
      <c r="A25" s="23"/>
      <c r="B25" s="28" t="s">
        <v>1</v>
      </c>
      <c r="C25" s="362"/>
      <c r="D25" s="89">
        <f aca="true" t="shared" si="2" ref="D25:J25">D10</f>
        <v>1000</v>
      </c>
      <c r="E25" s="89">
        <f t="shared" si="2"/>
        <v>1000</v>
      </c>
      <c r="F25" s="89">
        <f t="shared" si="2"/>
        <v>1000</v>
      </c>
      <c r="G25" s="89">
        <f t="shared" si="2"/>
        <v>1000</v>
      </c>
      <c r="H25" s="89">
        <f t="shared" si="2"/>
        <v>1000</v>
      </c>
      <c r="I25" s="89">
        <f t="shared" si="2"/>
        <v>1000</v>
      </c>
      <c r="J25" s="89">
        <f t="shared" si="2"/>
        <v>1000</v>
      </c>
    </row>
    <row r="26" spans="1:10" ht="15.75">
      <c r="A26" s="20" t="s">
        <v>209</v>
      </c>
      <c r="B26" s="24" t="s">
        <v>304</v>
      </c>
      <c r="C26" s="177" t="s">
        <v>496</v>
      </c>
      <c r="D26" s="183">
        <v>223</v>
      </c>
      <c r="E26" s="183">
        <v>223</v>
      </c>
      <c r="F26" s="347">
        <v>223</v>
      </c>
      <c r="G26" s="183">
        <v>223</v>
      </c>
      <c r="H26" s="183">
        <v>223</v>
      </c>
      <c r="I26" s="183">
        <v>223</v>
      </c>
      <c r="J26" s="183">
        <v>223</v>
      </c>
    </row>
    <row r="27" spans="1:10" ht="15">
      <c r="A27" s="176" t="s">
        <v>467</v>
      </c>
      <c r="B27" s="26" t="s">
        <v>78</v>
      </c>
      <c r="C27" s="178"/>
      <c r="D27" s="22"/>
      <c r="E27" s="22"/>
      <c r="F27" s="98"/>
      <c r="G27" s="22"/>
      <c r="H27" s="22"/>
      <c r="I27" s="22"/>
      <c r="J27" s="22"/>
    </row>
    <row r="28" spans="1:10" ht="15">
      <c r="A28" s="22"/>
      <c r="B28" s="26" t="s">
        <v>271</v>
      </c>
      <c r="C28" s="178"/>
      <c r="D28" s="22"/>
      <c r="E28" s="22"/>
      <c r="F28" s="22"/>
      <c r="G28" s="22"/>
      <c r="H28" s="22"/>
      <c r="I28" s="22"/>
      <c r="J28" s="22"/>
    </row>
    <row r="29" spans="1:10" ht="15">
      <c r="A29" s="22"/>
      <c r="B29" s="26" t="s">
        <v>270</v>
      </c>
      <c r="C29" s="363"/>
      <c r="D29" s="22"/>
      <c r="E29" s="22"/>
      <c r="F29" s="22"/>
      <c r="G29" s="22"/>
      <c r="H29" s="22"/>
      <c r="I29" s="22"/>
      <c r="J29" s="22"/>
    </row>
    <row r="30" spans="1:10" ht="15">
      <c r="A30" s="23"/>
      <c r="B30" s="28" t="s">
        <v>1</v>
      </c>
      <c r="C30" s="179"/>
      <c r="D30" s="89">
        <f aca="true" t="shared" si="3" ref="D30:J30">D10</f>
        <v>1000</v>
      </c>
      <c r="E30" s="89">
        <f t="shared" si="3"/>
        <v>1000</v>
      </c>
      <c r="F30" s="89">
        <f t="shared" si="3"/>
        <v>1000</v>
      </c>
      <c r="G30" s="89">
        <f t="shared" si="3"/>
        <v>1000</v>
      </c>
      <c r="H30" s="89">
        <f t="shared" si="3"/>
        <v>1000</v>
      </c>
      <c r="I30" s="89">
        <f t="shared" si="3"/>
        <v>1000</v>
      </c>
      <c r="J30" s="89">
        <f t="shared" si="3"/>
        <v>1000</v>
      </c>
    </row>
    <row r="31" spans="1:10" ht="15.75">
      <c r="A31" s="20" t="s">
        <v>469</v>
      </c>
      <c r="B31" s="24" t="s">
        <v>304</v>
      </c>
      <c r="C31" s="177" t="s">
        <v>497</v>
      </c>
      <c r="D31" s="183">
        <v>182</v>
      </c>
      <c r="E31" s="183">
        <v>182</v>
      </c>
      <c r="F31" s="347">
        <v>182</v>
      </c>
      <c r="G31" s="183">
        <v>182</v>
      </c>
      <c r="H31" s="183">
        <v>182</v>
      </c>
      <c r="I31" s="183">
        <v>182</v>
      </c>
      <c r="J31" s="183">
        <v>182</v>
      </c>
    </row>
    <row r="32" spans="1:10" ht="30">
      <c r="A32" s="176" t="s">
        <v>468</v>
      </c>
      <c r="B32" s="26" t="s">
        <v>78</v>
      </c>
      <c r="C32" s="178"/>
      <c r="D32" s="22"/>
      <c r="E32" s="22"/>
      <c r="F32" s="98"/>
      <c r="G32" s="22"/>
      <c r="H32" s="22"/>
      <c r="I32" s="22"/>
      <c r="J32" s="22"/>
    </row>
    <row r="33" spans="1:10" ht="15">
      <c r="A33" s="22"/>
      <c r="B33" s="26" t="s">
        <v>271</v>
      </c>
      <c r="C33" s="178"/>
      <c r="D33" s="22"/>
      <c r="E33" s="22"/>
      <c r="F33" s="22"/>
      <c r="G33" s="22"/>
      <c r="H33" s="22"/>
      <c r="I33" s="22"/>
      <c r="J33" s="22"/>
    </row>
    <row r="34" spans="1:10" ht="15">
      <c r="A34" s="22"/>
      <c r="B34" s="26" t="s">
        <v>270</v>
      </c>
      <c r="C34" s="363"/>
      <c r="D34" s="22"/>
      <c r="E34" s="22"/>
      <c r="F34" s="22"/>
      <c r="G34" s="22"/>
      <c r="H34" s="22"/>
      <c r="I34" s="22"/>
      <c r="J34" s="22"/>
    </row>
    <row r="35" spans="1:10" ht="15">
      <c r="A35" s="23"/>
      <c r="B35" s="28" t="s">
        <v>1</v>
      </c>
      <c r="C35" s="362"/>
      <c r="D35" s="89">
        <f aca="true" t="shared" si="4" ref="D35:J35">D10</f>
        <v>1000</v>
      </c>
      <c r="E35" s="89">
        <f t="shared" si="4"/>
        <v>1000</v>
      </c>
      <c r="F35" s="416">
        <f t="shared" si="4"/>
        <v>1000</v>
      </c>
      <c r="G35" s="89">
        <f t="shared" si="4"/>
        <v>1000</v>
      </c>
      <c r="H35" s="89">
        <f t="shared" si="4"/>
        <v>1000</v>
      </c>
      <c r="I35" s="89">
        <f t="shared" si="4"/>
        <v>1000</v>
      </c>
      <c r="J35" s="89">
        <f t="shared" si="4"/>
        <v>1000</v>
      </c>
    </row>
    <row r="36" spans="1:10" ht="15.75">
      <c r="A36" s="20" t="s">
        <v>470</v>
      </c>
      <c r="B36" s="24" t="s">
        <v>304</v>
      </c>
      <c r="C36" s="177" t="s">
        <v>498</v>
      </c>
      <c r="D36" s="183">
        <v>18</v>
      </c>
      <c r="E36" s="183">
        <v>18</v>
      </c>
      <c r="F36" s="347">
        <v>18</v>
      </c>
      <c r="G36" s="183">
        <v>18</v>
      </c>
      <c r="H36" s="183">
        <v>18</v>
      </c>
      <c r="I36" s="183">
        <v>18</v>
      </c>
      <c r="J36" s="183">
        <v>18</v>
      </c>
    </row>
    <row r="37" spans="1:10" ht="15">
      <c r="A37" s="176" t="s">
        <v>488</v>
      </c>
      <c r="B37" s="26" t="s">
        <v>78</v>
      </c>
      <c r="C37" s="363"/>
      <c r="D37" s="22"/>
      <c r="E37" s="22"/>
      <c r="F37" s="98"/>
      <c r="G37" s="22"/>
      <c r="H37" s="22"/>
      <c r="I37" s="22"/>
      <c r="J37" s="22"/>
    </row>
    <row r="38" spans="1:10" ht="15">
      <c r="A38" s="22"/>
      <c r="B38" s="26" t="s">
        <v>271</v>
      </c>
      <c r="C38" s="363"/>
      <c r="D38" s="22"/>
      <c r="E38" s="22"/>
      <c r="F38" s="22"/>
      <c r="G38" s="22"/>
      <c r="H38" s="22"/>
      <c r="I38" s="22"/>
      <c r="J38" s="22"/>
    </row>
    <row r="39" spans="1:10" ht="15">
      <c r="A39" s="22"/>
      <c r="B39" s="26" t="s">
        <v>270</v>
      </c>
      <c r="C39" s="363"/>
      <c r="D39" s="22"/>
      <c r="E39" s="22"/>
      <c r="F39" s="22"/>
      <c r="G39" s="22"/>
      <c r="H39" s="22"/>
      <c r="I39" s="22"/>
      <c r="J39" s="22"/>
    </row>
    <row r="40" spans="1:10" ht="15">
      <c r="A40" s="23"/>
      <c r="B40" s="28" t="s">
        <v>1</v>
      </c>
      <c r="C40" s="362"/>
      <c r="D40" s="89">
        <f aca="true" t="shared" si="5" ref="D40:J40">D10</f>
        <v>1000</v>
      </c>
      <c r="E40" s="89">
        <f t="shared" si="5"/>
        <v>1000</v>
      </c>
      <c r="F40" s="416">
        <f t="shared" si="5"/>
        <v>1000</v>
      </c>
      <c r="G40" s="89">
        <f t="shared" si="5"/>
        <v>1000</v>
      </c>
      <c r="H40" s="89">
        <f t="shared" si="5"/>
        <v>1000</v>
      </c>
      <c r="I40" s="89">
        <f t="shared" si="5"/>
        <v>1000</v>
      </c>
      <c r="J40" s="89">
        <f t="shared" si="5"/>
        <v>1000</v>
      </c>
    </row>
    <row r="41" spans="1:10" ht="18">
      <c r="A41" s="9" t="s">
        <v>430</v>
      </c>
      <c r="J41" s="54">
        <f>J1</f>
        <v>0</v>
      </c>
    </row>
    <row r="42" ht="15.75">
      <c r="J42" s="54">
        <f>J2</f>
        <v>0</v>
      </c>
    </row>
    <row r="43" ht="15.75">
      <c r="J43" s="54"/>
    </row>
    <row r="44" ht="15.75">
      <c r="J44" s="54"/>
    </row>
    <row r="45" ht="15"/>
    <row r="46" spans="1:3" ht="15.75">
      <c r="A46" s="31" t="s">
        <v>386</v>
      </c>
      <c r="B46" s="16"/>
      <c r="C46" s="180"/>
    </row>
    <row r="47" spans="1:3" ht="15.75">
      <c r="A47" s="31" t="s">
        <v>395</v>
      </c>
      <c r="B47" s="16"/>
      <c r="C47" s="181"/>
    </row>
    <row r="48" spans="1:3" ht="15.75">
      <c r="A48" s="31" t="s">
        <v>97</v>
      </c>
      <c r="B48" s="16"/>
      <c r="C48" s="181"/>
    </row>
    <row r="49" spans="1:3" ht="15.75">
      <c r="A49" s="31" t="s">
        <v>349</v>
      </c>
      <c r="B49" s="16"/>
      <c r="C49" s="180"/>
    </row>
    <row r="50" ht="15.75">
      <c r="A50" s="10"/>
    </row>
    <row r="51" ht="15"/>
    <row r="52" spans="1:10" ht="15.75">
      <c r="A52" s="31" t="s">
        <v>343</v>
      </c>
      <c r="B52" s="14"/>
      <c r="C52" s="16"/>
      <c r="D52" s="31" t="s">
        <v>233</v>
      </c>
      <c r="E52" s="14"/>
      <c r="F52" s="14"/>
      <c r="G52" s="14"/>
      <c r="H52" s="14"/>
      <c r="I52" s="14"/>
      <c r="J52" s="16"/>
    </row>
    <row r="53" spans="1:10" ht="15.75">
      <c r="A53" s="13" t="s">
        <v>289</v>
      </c>
      <c r="B53" s="17"/>
      <c r="C53" s="18" t="s">
        <v>145</v>
      </c>
      <c r="D53" s="19" t="str">
        <f aca="true" t="shared" si="6" ref="D53:J53">D4</f>
        <v>Générales</v>
      </c>
      <c r="E53" s="19" t="str">
        <f t="shared" si="6"/>
        <v>Escalier</v>
      </c>
      <c r="F53" s="19" t="str">
        <f t="shared" si="6"/>
        <v>Eau</v>
      </c>
      <c r="G53" s="19" t="str">
        <f t="shared" si="6"/>
        <v>Charge1</v>
      </c>
      <c r="H53" s="19" t="str">
        <f t="shared" si="6"/>
        <v>Charge2</v>
      </c>
      <c r="I53" s="19" t="str">
        <f t="shared" si="6"/>
        <v>Travaux</v>
      </c>
      <c r="J53" s="19" t="str">
        <f t="shared" si="6"/>
        <v>Provision</v>
      </c>
    </row>
    <row r="54" spans="1:10" ht="15.75">
      <c r="A54" s="182"/>
      <c r="B54" s="24" t="s">
        <v>304</v>
      </c>
      <c r="C54" s="177"/>
      <c r="D54" s="183"/>
      <c r="E54" s="183"/>
      <c r="F54" s="183"/>
      <c r="G54" s="183"/>
      <c r="H54" s="183"/>
      <c r="I54" s="183"/>
      <c r="J54" s="183"/>
    </row>
    <row r="55" spans="1:10" ht="15">
      <c r="A55" s="176"/>
      <c r="B55" s="26" t="s">
        <v>78</v>
      </c>
      <c r="C55" s="178"/>
      <c r="D55" s="22"/>
      <c r="E55" s="22"/>
      <c r="F55" s="22"/>
      <c r="G55" s="22"/>
      <c r="H55" s="22"/>
      <c r="I55" s="22"/>
      <c r="J55" s="22"/>
    </row>
    <row r="56" spans="1:10" ht="15">
      <c r="A56" s="22"/>
      <c r="B56" s="26" t="s">
        <v>271</v>
      </c>
      <c r="C56" s="178"/>
      <c r="D56" s="22"/>
      <c r="E56" s="22"/>
      <c r="F56" s="22"/>
      <c r="G56" s="22"/>
      <c r="H56" s="22"/>
      <c r="I56" s="22"/>
      <c r="J56" s="22"/>
    </row>
    <row r="57" spans="1:10" ht="15">
      <c r="A57" s="22"/>
      <c r="B57" s="26" t="s">
        <v>270</v>
      </c>
      <c r="C57" s="178"/>
      <c r="D57" s="22"/>
      <c r="E57" s="22"/>
      <c r="F57" s="22"/>
      <c r="G57" s="22"/>
      <c r="H57" s="22"/>
      <c r="I57" s="22"/>
      <c r="J57" s="22"/>
    </row>
    <row r="58" spans="1:10" ht="15">
      <c r="A58" s="23"/>
      <c r="B58" s="28" t="s">
        <v>1</v>
      </c>
      <c r="C58" s="411"/>
      <c r="D58" s="23">
        <f aca="true" t="shared" si="7" ref="D58:J58">D10</f>
        <v>1000</v>
      </c>
      <c r="E58" s="23">
        <f t="shared" si="7"/>
        <v>1000</v>
      </c>
      <c r="F58" s="23">
        <f t="shared" si="7"/>
        <v>1000</v>
      </c>
      <c r="G58" s="23">
        <f t="shared" si="7"/>
        <v>1000</v>
      </c>
      <c r="H58" s="23">
        <f t="shared" si="7"/>
        <v>1000</v>
      </c>
      <c r="I58" s="23">
        <f t="shared" si="7"/>
        <v>1000</v>
      </c>
      <c r="J58" s="23">
        <f t="shared" si="7"/>
        <v>1000</v>
      </c>
    </row>
    <row r="59" ht="15"/>
    <row r="60" ht="15"/>
    <row r="61" spans="1:10" ht="15.75">
      <c r="A61" s="31" t="s">
        <v>257</v>
      </c>
      <c r="B61" s="14"/>
      <c r="C61" s="16"/>
      <c r="D61" s="31" t="s">
        <v>233</v>
      </c>
      <c r="E61" s="14"/>
      <c r="F61" s="14"/>
      <c r="G61" s="14"/>
      <c r="H61" s="14"/>
      <c r="I61" s="14"/>
      <c r="J61" s="16"/>
    </row>
    <row r="62" spans="1:10" ht="15.75">
      <c r="A62" s="13" t="s">
        <v>289</v>
      </c>
      <c r="B62" s="17"/>
      <c r="C62" s="18" t="s">
        <v>145</v>
      </c>
      <c r="D62" s="19" t="str">
        <f aca="true" t="shared" si="8" ref="D62:J62">D4</f>
        <v>Générales</v>
      </c>
      <c r="E62" s="19" t="str">
        <f t="shared" si="8"/>
        <v>Escalier</v>
      </c>
      <c r="F62" s="19" t="str">
        <f t="shared" si="8"/>
        <v>Eau</v>
      </c>
      <c r="G62" s="19" t="str">
        <f t="shared" si="8"/>
        <v>Charge1</v>
      </c>
      <c r="H62" s="19" t="str">
        <f t="shared" si="8"/>
        <v>Charge2</v>
      </c>
      <c r="I62" s="19" t="str">
        <f t="shared" si="8"/>
        <v>Travaux</v>
      </c>
      <c r="J62" s="19" t="str">
        <f t="shared" si="8"/>
        <v>Provision</v>
      </c>
    </row>
    <row r="63" spans="1:10" ht="15.75">
      <c r="A63" s="20" t="s">
        <v>43</v>
      </c>
      <c r="B63" s="24" t="s">
        <v>304</v>
      </c>
      <c r="C63" s="177"/>
      <c r="D63" s="90">
        <f>D54</f>
        <v>0</v>
      </c>
      <c r="E63" s="90">
        <f>E54</f>
        <v>0</v>
      </c>
      <c r="F63" s="97">
        <f>'Charges Spéciales'!I11</f>
        <v>0</v>
      </c>
      <c r="G63" s="90">
        <f>G54</f>
        <v>0</v>
      </c>
      <c r="H63" s="90">
        <f>H54</f>
        <v>0</v>
      </c>
      <c r="I63" s="90">
        <f>I54</f>
        <v>0</v>
      </c>
      <c r="J63" s="90">
        <f>J54</f>
        <v>0</v>
      </c>
    </row>
    <row r="64" spans="1:10" ht="15">
      <c r="A64" s="243">
        <f>A55</f>
        <v>0</v>
      </c>
      <c r="B64" s="26" t="s">
        <v>78</v>
      </c>
      <c r="C64" s="178"/>
      <c r="D64" s="22"/>
      <c r="E64" s="22"/>
      <c r="F64" s="22"/>
      <c r="G64" s="22"/>
      <c r="H64" s="22"/>
      <c r="I64" s="22"/>
      <c r="J64" s="22"/>
    </row>
    <row r="65" spans="1:10" ht="15">
      <c r="A65" s="22"/>
      <c r="B65" s="26" t="s">
        <v>271</v>
      </c>
      <c r="C65" s="178"/>
      <c r="D65" s="22"/>
      <c r="E65" s="22"/>
      <c r="F65" s="22"/>
      <c r="G65" s="22"/>
      <c r="H65" s="22"/>
      <c r="I65" s="22"/>
      <c r="J65" s="22"/>
    </row>
    <row r="66" spans="1:10" ht="15">
      <c r="A66" s="22"/>
      <c r="B66" s="26" t="s">
        <v>270</v>
      </c>
      <c r="C66" s="178"/>
      <c r="D66" s="22"/>
      <c r="E66" s="22"/>
      <c r="F66" s="22"/>
      <c r="G66" s="22"/>
      <c r="H66" s="22"/>
      <c r="I66" s="22"/>
      <c r="J66" s="22"/>
    </row>
    <row r="67" spans="1:10" ht="15">
      <c r="A67" s="23"/>
      <c r="B67" s="28" t="s">
        <v>1</v>
      </c>
      <c r="C67" s="412"/>
      <c r="D67" s="89">
        <f aca="true" t="shared" si="9" ref="D67:J67">D10</f>
        <v>1000</v>
      </c>
      <c r="E67" s="89">
        <f t="shared" si="9"/>
        <v>1000</v>
      </c>
      <c r="F67" s="89">
        <f t="shared" si="9"/>
        <v>1000</v>
      </c>
      <c r="G67" s="89">
        <f t="shared" si="9"/>
        <v>1000</v>
      </c>
      <c r="H67" s="89">
        <f t="shared" si="9"/>
        <v>1000</v>
      </c>
      <c r="I67" s="89">
        <f t="shared" si="9"/>
        <v>1000</v>
      </c>
      <c r="J67" s="89">
        <f t="shared" si="9"/>
        <v>1000</v>
      </c>
    </row>
    <row r="68" ht="15"/>
    <row r="69" ht="15"/>
    <row r="70" ht="15"/>
    <row r="71" spans="1:10" ht="15">
      <c r="A71"/>
      <c r="B71"/>
      <c r="C71"/>
      <c r="D71"/>
      <c r="E71"/>
      <c r="F71"/>
      <c r="G71"/>
      <c r="H71"/>
      <c r="I71"/>
      <c r="J71"/>
    </row>
    <row r="72" spans="1:10" ht="15">
      <c r="A72"/>
      <c r="B72"/>
      <c r="C72"/>
      <c r="D72"/>
      <c r="E72"/>
      <c r="F72"/>
      <c r="G72"/>
      <c r="H72"/>
      <c r="I72"/>
      <c r="J72"/>
    </row>
    <row r="73" spans="1:10" ht="15">
      <c r="A73"/>
      <c r="B73"/>
      <c r="C73"/>
      <c r="D73"/>
      <c r="E73"/>
      <c r="F73"/>
      <c r="G73"/>
      <c r="H73"/>
      <c r="I73"/>
      <c r="J73"/>
    </row>
    <row r="74" spans="1:10" ht="18">
      <c r="A74" s="9" t="s">
        <v>417</v>
      </c>
      <c r="J74" s="54">
        <f>J41</f>
        <v>0</v>
      </c>
    </row>
    <row r="75" ht="15.75">
      <c r="J75" s="54">
        <f>J42</f>
        <v>0</v>
      </c>
    </row>
    <row r="76" ht="15.75">
      <c r="J76" s="54"/>
    </row>
    <row r="77" spans="1:10" ht="18">
      <c r="A77" s="174" t="s">
        <v>214</v>
      </c>
      <c r="B77" s="175"/>
      <c r="C77" s="303">
        <v>42339</v>
      </c>
      <c r="J77" s="54"/>
    </row>
    <row r="78" ht="15.75">
      <c r="J78" s="54"/>
    </row>
    <row r="79" spans="4:5" ht="15.75">
      <c r="D79" s="58"/>
      <c r="E79" s="57"/>
    </row>
    <row r="80" spans="1:10" ht="15.75">
      <c r="A80" s="13" t="s">
        <v>454</v>
      </c>
      <c r="B80" s="17"/>
      <c r="C80" s="18" t="s">
        <v>269</v>
      </c>
      <c r="D80" s="35" t="s">
        <v>442</v>
      </c>
      <c r="E80" s="59" t="s">
        <v>152</v>
      </c>
      <c r="F80" s="39" t="s">
        <v>247</v>
      </c>
      <c r="G80" s="15"/>
      <c r="H80" s="15"/>
      <c r="I80" s="15"/>
      <c r="J80" s="18"/>
    </row>
    <row r="81" spans="1:10" ht="15.75">
      <c r="A81" s="20" t="s">
        <v>52</v>
      </c>
      <c r="B81" s="24" t="s">
        <v>304</v>
      </c>
      <c r="C81" s="25" t="str">
        <f>C6</f>
        <v>ATCHOUM</v>
      </c>
      <c r="D81" s="30">
        <f>D6</f>
        <v>143</v>
      </c>
      <c r="E81" s="24">
        <f>E6</f>
        <v>143</v>
      </c>
      <c r="F81" s="26"/>
      <c r="J81" s="27"/>
    </row>
    <row r="82" spans="1:10" ht="30">
      <c r="A82" s="21" t="str">
        <f>A7</f>
        <v>RDC : Appartement - Jardin</v>
      </c>
      <c r="B82" s="26" t="s">
        <v>78</v>
      </c>
      <c r="C82" s="27">
        <f>C7</f>
        <v>0</v>
      </c>
      <c r="D82" s="22"/>
      <c r="E82" s="26"/>
      <c r="F82" s="26"/>
      <c r="J82" s="27"/>
    </row>
    <row r="83" spans="1:10" ht="15">
      <c r="A83" s="22"/>
      <c r="B83" s="26" t="s">
        <v>271</v>
      </c>
      <c r="C83" s="27">
        <f>C8</f>
        <v>0</v>
      </c>
      <c r="D83" s="22"/>
      <c r="E83" s="26"/>
      <c r="F83" s="26" t="s">
        <v>418</v>
      </c>
      <c r="J83" s="27"/>
    </row>
    <row r="84" spans="1:10" ht="15.75">
      <c r="A84" s="20" t="s">
        <v>408</v>
      </c>
      <c r="B84" s="24" t="s">
        <v>304</v>
      </c>
      <c r="C84" s="25" t="str">
        <f>C11</f>
        <v>ATCHOUM</v>
      </c>
      <c r="D84" s="30">
        <f>D11</f>
        <v>162</v>
      </c>
      <c r="E84" s="24">
        <f>E11</f>
        <v>162</v>
      </c>
      <c r="F84" s="24"/>
      <c r="G84" s="56"/>
      <c r="H84" s="56"/>
      <c r="I84" s="56"/>
      <c r="J84" s="25"/>
    </row>
    <row r="85" spans="1:10" ht="30">
      <c r="A85" s="21" t="str">
        <f>A12</f>
        <v>RDC :  Appartement - Jardin - Chaufferie</v>
      </c>
      <c r="B85" s="26" t="s">
        <v>78</v>
      </c>
      <c r="C85" s="27">
        <f>C12</f>
        <v>0</v>
      </c>
      <c r="D85" s="22"/>
      <c r="E85" s="26"/>
      <c r="F85" s="26"/>
      <c r="J85" s="27"/>
    </row>
    <row r="86" spans="1:10" ht="15">
      <c r="A86" s="22"/>
      <c r="B86" s="26" t="s">
        <v>271</v>
      </c>
      <c r="C86" s="27">
        <f>C13</f>
        <v>0</v>
      </c>
      <c r="D86" s="22"/>
      <c r="E86" s="26"/>
      <c r="F86" s="26" t="s">
        <v>418</v>
      </c>
      <c r="J86" s="27"/>
    </row>
    <row r="87" spans="1:10" ht="15.75">
      <c r="A87" s="20" t="s">
        <v>53</v>
      </c>
      <c r="B87" s="24" t="s">
        <v>304</v>
      </c>
      <c r="C87" s="25" t="str">
        <f>C16</f>
        <v>GRINCHEUX</v>
      </c>
      <c r="D87" s="30">
        <f>D16</f>
        <v>91</v>
      </c>
      <c r="E87" s="24">
        <f>E16</f>
        <v>91</v>
      </c>
      <c r="F87" s="24"/>
      <c r="G87" s="56"/>
      <c r="H87" s="56"/>
      <c r="I87" s="56"/>
      <c r="J87" s="25"/>
    </row>
    <row r="88" spans="1:10" ht="15">
      <c r="A88" s="21" t="str">
        <f>A17</f>
        <v>RDC : Local </v>
      </c>
      <c r="B88" s="26" t="s">
        <v>78</v>
      </c>
      <c r="C88" s="27">
        <f>C17</f>
        <v>0</v>
      </c>
      <c r="D88" s="22"/>
      <c r="E88" s="26"/>
      <c r="F88" s="26"/>
      <c r="J88" s="27"/>
    </row>
    <row r="89" spans="1:10" ht="15">
      <c r="A89" s="22"/>
      <c r="B89" s="26" t="s">
        <v>271</v>
      </c>
      <c r="C89" s="27">
        <f>C18</f>
        <v>0</v>
      </c>
      <c r="D89" s="22"/>
      <c r="E89" s="26"/>
      <c r="F89" s="26" t="s">
        <v>418</v>
      </c>
      <c r="J89" s="27"/>
    </row>
    <row r="90" spans="1:10" ht="15.75">
      <c r="A90" s="20" t="s">
        <v>300</v>
      </c>
      <c r="B90" s="24" t="s">
        <v>304</v>
      </c>
      <c r="C90" s="25" t="str">
        <f>C21</f>
        <v>SIMPLET</v>
      </c>
      <c r="D90" s="30">
        <f>D21</f>
        <v>181</v>
      </c>
      <c r="E90" s="24">
        <f>E21</f>
        <v>181</v>
      </c>
      <c r="F90" s="24"/>
      <c r="G90" s="56"/>
      <c r="H90" s="56"/>
      <c r="I90" s="56"/>
      <c r="J90" s="25"/>
    </row>
    <row r="91" spans="1:10" ht="30">
      <c r="A91" s="21" t="str">
        <f>A22</f>
        <v>Etage : Appartement - Balcon</v>
      </c>
      <c r="B91" s="26" t="s">
        <v>78</v>
      </c>
      <c r="C91" s="27">
        <f>C22</f>
        <v>0</v>
      </c>
      <c r="D91" s="22"/>
      <c r="E91" s="26"/>
      <c r="F91" s="26"/>
      <c r="J91" s="27"/>
    </row>
    <row r="92" spans="1:10" ht="15">
      <c r="A92" s="22"/>
      <c r="B92" s="26" t="s">
        <v>271</v>
      </c>
      <c r="C92" s="27">
        <f>C23</f>
        <v>0</v>
      </c>
      <c r="D92" s="22"/>
      <c r="E92" s="26"/>
      <c r="F92" s="26" t="s">
        <v>418</v>
      </c>
      <c r="J92" s="27"/>
    </row>
    <row r="93" spans="1:10" ht="15.75">
      <c r="A93" s="20" t="s">
        <v>209</v>
      </c>
      <c r="B93" s="24" t="s">
        <v>304</v>
      </c>
      <c r="C93" s="25" t="str">
        <f>C26</f>
        <v>DORMEUR</v>
      </c>
      <c r="D93" s="30">
        <f>D26</f>
        <v>223</v>
      </c>
      <c r="E93" s="24">
        <f>E26</f>
        <v>223</v>
      </c>
      <c r="F93" s="24"/>
      <c r="G93" s="56"/>
      <c r="H93" s="56"/>
      <c r="I93" s="56"/>
      <c r="J93" s="25"/>
    </row>
    <row r="94" spans="1:10" ht="15" customHeight="1">
      <c r="A94" s="21" t="str">
        <f>A27</f>
        <v>Etage : Appartement</v>
      </c>
      <c r="B94" s="26" t="s">
        <v>78</v>
      </c>
      <c r="C94" s="27">
        <f>C27</f>
        <v>0</v>
      </c>
      <c r="D94" s="22"/>
      <c r="E94" s="26"/>
      <c r="F94" s="26"/>
      <c r="J94" s="27"/>
    </row>
    <row r="95" spans="1:10" ht="15">
      <c r="A95" s="22"/>
      <c r="B95" s="26" t="s">
        <v>271</v>
      </c>
      <c r="C95" s="27">
        <f>C28</f>
        <v>0</v>
      </c>
      <c r="D95" s="22"/>
      <c r="E95" s="26"/>
      <c r="F95" s="26" t="s">
        <v>418</v>
      </c>
      <c r="J95" s="27"/>
    </row>
    <row r="96" spans="1:10" ht="15.75">
      <c r="A96" s="20" t="s">
        <v>469</v>
      </c>
      <c r="B96" s="24" t="s">
        <v>304</v>
      </c>
      <c r="C96" s="25" t="str">
        <f>C31</f>
        <v>PROF</v>
      </c>
      <c r="D96" s="30">
        <f>D31</f>
        <v>182</v>
      </c>
      <c r="E96" s="24">
        <f>E31</f>
        <v>182</v>
      </c>
      <c r="F96" s="24"/>
      <c r="G96" s="56"/>
      <c r="H96" s="56"/>
      <c r="I96" s="56"/>
      <c r="J96" s="25"/>
    </row>
    <row r="97" spans="1:10" ht="15" customHeight="1">
      <c r="A97" s="21" t="str">
        <f>A32</f>
        <v>Combles : Appartement - Balcon</v>
      </c>
      <c r="B97" s="26" t="s">
        <v>78</v>
      </c>
      <c r="C97" s="27">
        <f>C32</f>
        <v>0</v>
      </c>
      <c r="D97" s="22"/>
      <c r="E97" s="26"/>
      <c r="F97" s="26"/>
      <c r="J97" s="27"/>
    </row>
    <row r="98" spans="1:10" ht="15">
      <c r="A98" s="22"/>
      <c r="B98" s="26" t="s">
        <v>271</v>
      </c>
      <c r="C98" s="29">
        <f>C33</f>
        <v>0</v>
      </c>
      <c r="D98" s="22"/>
      <c r="E98" s="26"/>
      <c r="F98" s="26" t="s">
        <v>418</v>
      </c>
      <c r="J98" s="27"/>
    </row>
    <row r="99" spans="1:10" ht="15.75">
      <c r="A99" s="20" t="s">
        <v>470</v>
      </c>
      <c r="B99" s="24" t="s">
        <v>304</v>
      </c>
      <c r="C99" s="25" t="str">
        <f>C36</f>
        <v>TIMIDE</v>
      </c>
      <c r="D99" s="30">
        <f>D36</f>
        <v>18</v>
      </c>
      <c r="E99" s="24">
        <f>E36</f>
        <v>18</v>
      </c>
      <c r="F99" s="24"/>
      <c r="G99" s="56"/>
      <c r="H99" s="56"/>
      <c r="I99" s="56"/>
      <c r="J99" s="25"/>
    </row>
    <row r="100" spans="1:10" ht="15">
      <c r="A100" s="21" t="str">
        <f>A37</f>
        <v>RDC : Garage</v>
      </c>
      <c r="B100" s="26" t="s">
        <v>78</v>
      </c>
      <c r="C100" s="27">
        <f>C37</f>
        <v>0</v>
      </c>
      <c r="D100" s="22"/>
      <c r="E100" s="26"/>
      <c r="F100" s="26"/>
      <c r="J100" s="27"/>
    </row>
    <row r="101" spans="1:10" ht="15">
      <c r="A101" s="22"/>
      <c r="B101" s="26" t="s">
        <v>271</v>
      </c>
      <c r="C101" s="29">
        <f>C38</f>
        <v>0</v>
      </c>
      <c r="D101" s="22"/>
      <c r="E101" s="26"/>
      <c r="F101" s="26" t="s">
        <v>418</v>
      </c>
      <c r="J101" s="27"/>
    </row>
    <row r="102" spans="1:10" ht="15.75">
      <c r="A102" s="20" t="s">
        <v>43</v>
      </c>
      <c r="B102" s="24" t="s">
        <v>304</v>
      </c>
      <c r="C102" s="25">
        <f>C63</f>
        <v>0</v>
      </c>
      <c r="D102" s="30">
        <f>D63</f>
        <v>0</v>
      </c>
      <c r="E102" s="24">
        <f>E63</f>
        <v>0</v>
      </c>
      <c r="F102" s="24"/>
      <c r="G102" s="56"/>
      <c r="H102" s="56"/>
      <c r="I102" s="56"/>
      <c r="J102" s="25"/>
    </row>
    <row r="103" spans="1:10" ht="15">
      <c r="A103" s="21">
        <f>A64</f>
        <v>0</v>
      </c>
      <c r="B103" s="26" t="s">
        <v>78</v>
      </c>
      <c r="C103" s="27">
        <f>C64</f>
        <v>0</v>
      </c>
      <c r="D103" s="22"/>
      <c r="E103" s="26"/>
      <c r="F103" s="26"/>
      <c r="J103" s="27"/>
    </row>
    <row r="104" spans="1:10" ht="15">
      <c r="A104" s="23"/>
      <c r="B104" s="57" t="s">
        <v>271</v>
      </c>
      <c r="C104" s="29">
        <f>C65</f>
        <v>0</v>
      </c>
      <c r="D104" s="57"/>
      <c r="E104" s="23"/>
      <c r="F104" s="28" t="s">
        <v>418</v>
      </c>
      <c r="G104" s="57"/>
      <c r="H104" s="57"/>
      <c r="I104" s="57"/>
      <c r="J104" s="29"/>
    </row>
    <row r="105" spans="1:10" ht="15">
      <c r="A105" s="66"/>
      <c r="B105" s="55"/>
      <c r="C105" s="55"/>
      <c r="D105" s="55"/>
      <c r="E105" s="55"/>
      <c r="F105" s="55"/>
      <c r="G105" s="55"/>
      <c r="H105" s="55"/>
      <c r="I105" s="55"/>
      <c r="J105" s="55"/>
    </row>
    <row r="106" spans="1:10" ht="18">
      <c r="A106" s="9" t="s">
        <v>239</v>
      </c>
      <c r="J106" s="54">
        <f>J74</f>
        <v>0</v>
      </c>
    </row>
    <row r="107" ht="15.75">
      <c r="J107" s="54">
        <f>J75</f>
        <v>0</v>
      </c>
    </row>
    <row r="108" ht="15.75">
      <c r="J108" s="54"/>
    </row>
    <row r="109" spans="1:10" ht="18">
      <c r="A109" s="9" t="s">
        <v>51</v>
      </c>
      <c r="C109" s="303">
        <v>42035</v>
      </c>
      <c r="J109" s="54"/>
    </row>
    <row r="110" ht="15.75">
      <c r="J110" s="54"/>
    </row>
    <row r="111" spans="4:5" ht="15.75">
      <c r="D111" s="58"/>
      <c r="E111" s="57"/>
    </row>
    <row r="112" spans="1:10" ht="15.75">
      <c r="A112" s="13" t="s">
        <v>454</v>
      </c>
      <c r="B112" s="17"/>
      <c r="C112" s="18" t="s">
        <v>269</v>
      </c>
      <c r="D112" s="35" t="s">
        <v>442</v>
      </c>
      <c r="E112" s="59" t="s">
        <v>152</v>
      </c>
      <c r="F112" s="39" t="s">
        <v>247</v>
      </c>
      <c r="G112" s="15"/>
      <c r="H112" s="15"/>
      <c r="I112" s="15"/>
      <c r="J112" s="18"/>
    </row>
    <row r="113" spans="1:10" ht="15.75">
      <c r="A113" s="20" t="s">
        <v>52</v>
      </c>
      <c r="B113" s="24" t="s">
        <v>304</v>
      </c>
      <c r="C113" s="25" t="str">
        <f>C6</f>
        <v>ATCHOUM</v>
      </c>
      <c r="D113" s="30">
        <f>D6</f>
        <v>143</v>
      </c>
      <c r="E113" s="24">
        <f>E6</f>
        <v>143</v>
      </c>
      <c r="F113" s="26"/>
      <c r="J113" s="27"/>
    </row>
    <row r="114" spans="1:10" ht="30">
      <c r="A114" s="21" t="str">
        <f>A7</f>
        <v>RDC : Appartement - Jardin</v>
      </c>
      <c r="B114" s="26" t="s">
        <v>78</v>
      </c>
      <c r="C114" s="27">
        <f>C7</f>
        <v>0</v>
      </c>
      <c r="D114" s="22"/>
      <c r="E114" s="26"/>
      <c r="F114" s="26"/>
      <c r="J114" s="27"/>
    </row>
    <row r="115" spans="1:10" ht="15">
      <c r="A115" s="22"/>
      <c r="B115" s="26" t="s">
        <v>271</v>
      </c>
      <c r="C115" s="27">
        <f>C8</f>
        <v>0</v>
      </c>
      <c r="D115" s="22"/>
      <c r="E115" s="26"/>
      <c r="F115" s="26" t="s">
        <v>418</v>
      </c>
      <c r="J115" s="27"/>
    </row>
    <row r="116" spans="1:10" ht="15.75">
      <c r="A116" s="20" t="s">
        <v>408</v>
      </c>
      <c r="B116" s="24" t="s">
        <v>304</v>
      </c>
      <c r="C116" s="25" t="str">
        <f>C11</f>
        <v>ATCHOUM</v>
      </c>
      <c r="D116" s="30">
        <f>D11</f>
        <v>162</v>
      </c>
      <c r="E116" s="24">
        <f>E11</f>
        <v>162</v>
      </c>
      <c r="F116" s="24"/>
      <c r="G116" s="56"/>
      <c r="H116" s="56"/>
      <c r="I116" s="56"/>
      <c r="J116" s="25"/>
    </row>
    <row r="117" spans="1:10" ht="30">
      <c r="A117" s="21" t="str">
        <f>A12</f>
        <v>RDC :  Appartement - Jardin - Chaufferie</v>
      </c>
      <c r="B117" s="26" t="s">
        <v>78</v>
      </c>
      <c r="C117" s="27">
        <f>C12</f>
        <v>0</v>
      </c>
      <c r="D117" s="22"/>
      <c r="E117" s="26"/>
      <c r="F117" s="26"/>
      <c r="J117" s="27"/>
    </row>
    <row r="118" spans="1:10" ht="15">
      <c r="A118" s="22"/>
      <c r="B118" s="26" t="s">
        <v>271</v>
      </c>
      <c r="C118" s="27">
        <f>C13</f>
        <v>0</v>
      </c>
      <c r="D118" s="22"/>
      <c r="E118" s="26"/>
      <c r="F118" s="26" t="s">
        <v>418</v>
      </c>
      <c r="J118" s="27"/>
    </row>
    <row r="119" spans="1:10" ht="15" customHeight="1">
      <c r="A119" s="20" t="s">
        <v>53</v>
      </c>
      <c r="B119" s="24" t="s">
        <v>304</v>
      </c>
      <c r="C119" s="25" t="str">
        <f>C16</f>
        <v>GRINCHEUX</v>
      </c>
      <c r="D119" s="30">
        <f>D16</f>
        <v>91</v>
      </c>
      <c r="E119" s="24">
        <f>E16</f>
        <v>91</v>
      </c>
      <c r="F119" s="24"/>
      <c r="G119" s="56"/>
      <c r="H119" s="56"/>
      <c r="I119" s="56"/>
      <c r="J119" s="25"/>
    </row>
    <row r="120" spans="1:10" ht="15">
      <c r="A120" s="21" t="str">
        <f>A17</f>
        <v>RDC : Local </v>
      </c>
      <c r="B120" s="26" t="s">
        <v>78</v>
      </c>
      <c r="C120" s="27">
        <f>C17</f>
        <v>0</v>
      </c>
      <c r="D120" s="22"/>
      <c r="E120" s="26"/>
      <c r="F120" s="26"/>
      <c r="J120" s="27"/>
    </row>
    <row r="121" spans="1:10" ht="15">
      <c r="A121" s="22"/>
      <c r="B121" s="26" t="s">
        <v>271</v>
      </c>
      <c r="C121" s="27">
        <f>C18</f>
        <v>0</v>
      </c>
      <c r="D121" s="22"/>
      <c r="E121" s="26"/>
      <c r="F121" s="26" t="s">
        <v>418</v>
      </c>
      <c r="J121" s="27"/>
    </row>
    <row r="122" spans="1:10" ht="15.75">
      <c r="A122" s="20" t="s">
        <v>300</v>
      </c>
      <c r="B122" s="24" t="s">
        <v>304</v>
      </c>
      <c r="C122" s="25" t="str">
        <f>C21</f>
        <v>SIMPLET</v>
      </c>
      <c r="D122" s="30">
        <f>D21</f>
        <v>181</v>
      </c>
      <c r="E122" s="24">
        <f>E21</f>
        <v>181</v>
      </c>
      <c r="F122" s="24"/>
      <c r="G122" s="56"/>
      <c r="H122" s="56"/>
      <c r="I122" s="56"/>
      <c r="J122" s="25"/>
    </row>
    <row r="123" spans="1:10" ht="30">
      <c r="A123" s="21" t="str">
        <f>A22</f>
        <v>Etage : Appartement - Balcon</v>
      </c>
      <c r="B123" s="26" t="s">
        <v>78</v>
      </c>
      <c r="C123" s="27">
        <f>C22</f>
        <v>0</v>
      </c>
      <c r="D123" s="22"/>
      <c r="E123" s="26"/>
      <c r="F123" s="26"/>
      <c r="J123" s="27"/>
    </row>
    <row r="124" spans="1:10" ht="15" customHeight="1">
      <c r="A124" s="22"/>
      <c r="B124" s="26" t="s">
        <v>271</v>
      </c>
      <c r="C124" s="27">
        <f>C23</f>
        <v>0</v>
      </c>
      <c r="D124" s="22"/>
      <c r="E124" s="26"/>
      <c r="F124" s="26" t="s">
        <v>418</v>
      </c>
      <c r="J124" s="27"/>
    </row>
    <row r="125" spans="1:10" ht="15.75">
      <c r="A125" s="20" t="s">
        <v>209</v>
      </c>
      <c r="B125" s="24" t="s">
        <v>304</v>
      </c>
      <c r="C125" s="25" t="str">
        <f>C26</f>
        <v>DORMEUR</v>
      </c>
      <c r="D125" s="30">
        <f>D26</f>
        <v>223</v>
      </c>
      <c r="E125" s="24">
        <f>E26</f>
        <v>223</v>
      </c>
      <c r="F125" s="24"/>
      <c r="G125" s="56"/>
      <c r="H125" s="56"/>
      <c r="I125" s="56"/>
      <c r="J125" s="25"/>
    </row>
    <row r="126" spans="1:10" ht="15" customHeight="1">
      <c r="A126" s="21" t="str">
        <f>A27</f>
        <v>Etage : Appartement</v>
      </c>
      <c r="B126" s="26" t="s">
        <v>78</v>
      </c>
      <c r="C126" s="27">
        <f>C27</f>
        <v>0</v>
      </c>
      <c r="D126" s="22"/>
      <c r="E126" s="26"/>
      <c r="F126" s="26"/>
      <c r="J126" s="27"/>
    </row>
    <row r="127" spans="1:10" ht="15">
      <c r="A127" s="22"/>
      <c r="B127" s="26" t="s">
        <v>271</v>
      </c>
      <c r="C127" s="27">
        <f>C28</f>
        <v>0</v>
      </c>
      <c r="D127" s="22"/>
      <c r="E127" s="26"/>
      <c r="F127" s="26" t="s">
        <v>418</v>
      </c>
      <c r="J127" s="27"/>
    </row>
    <row r="128" spans="1:10" ht="15.75">
      <c r="A128" s="20" t="s">
        <v>469</v>
      </c>
      <c r="B128" s="24" t="s">
        <v>304</v>
      </c>
      <c r="C128" s="25" t="str">
        <f>C31</f>
        <v>PROF</v>
      </c>
      <c r="D128" s="30">
        <f>D31</f>
        <v>182</v>
      </c>
      <c r="E128" s="24">
        <f>E31</f>
        <v>182</v>
      </c>
      <c r="F128" s="24"/>
      <c r="G128" s="56"/>
      <c r="H128" s="56"/>
      <c r="I128" s="56"/>
      <c r="J128" s="25"/>
    </row>
    <row r="129" spans="1:10" ht="15" customHeight="1">
      <c r="A129" s="21" t="str">
        <f>A32</f>
        <v>Combles : Appartement - Balcon</v>
      </c>
      <c r="B129" s="26" t="s">
        <v>78</v>
      </c>
      <c r="C129" s="27">
        <f>C32</f>
        <v>0</v>
      </c>
      <c r="D129" s="22"/>
      <c r="E129" s="26"/>
      <c r="F129" s="26"/>
      <c r="J129" s="27"/>
    </row>
    <row r="130" spans="1:10" ht="15">
      <c r="A130" s="22"/>
      <c r="B130" s="26" t="s">
        <v>271</v>
      </c>
      <c r="C130" s="27">
        <f>C33</f>
        <v>0</v>
      </c>
      <c r="D130" s="22"/>
      <c r="E130" s="26"/>
      <c r="F130" s="26" t="s">
        <v>418</v>
      </c>
      <c r="J130" s="27"/>
    </row>
    <row r="131" spans="1:10" ht="15.75">
      <c r="A131" s="20" t="s">
        <v>470</v>
      </c>
      <c r="B131" s="24" t="s">
        <v>304</v>
      </c>
      <c r="C131" s="25" t="str">
        <f>C36</f>
        <v>TIMIDE</v>
      </c>
      <c r="D131" s="30">
        <f>D36</f>
        <v>18</v>
      </c>
      <c r="E131" s="24">
        <f>E36</f>
        <v>18</v>
      </c>
      <c r="F131" s="24"/>
      <c r="G131" s="56"/>
      <c r="H131" s="56"/>
      <c r="I131" s="56"/>
      <c r="J131" s="25"/>
    </row>
    <row r="132" spans="1:10" ht="15">
      <c r="A132" s="21" t="str">
        <f>A37</f>
        <v>RDC : Garage</v>
      </c>
      <c r="B132" s="26" t="s">
        <v>78</v>
      </c>
      <c r="C132" s="27">
        <f>C37</f>
        <v>0</v>
      </c>
      <c r="D132" s="22"/>
      <c r="E132" s="26"/>
      <c r="F132" s="26"/>
      <c r="J132" s="27"/>
    </row>
    <row r="133" spans="1:10" ht="15">
      <c r="A133" s="22"/>
      <c r="B133" s="26" t="s">
        <v>271</v>
      </c>
      <c r="C133" s="27">
        <f>C38</f>
        <v>0</v>
      </c>
      <c r="D133" s="22"/>
      <c r="E133" s="26"/>
      <c r="F133" s="26" t="s">
        <v>418</v>
      </c>
      <c r="J133" s="27"/>
    </row>
    <row r="134" spans="1:10" ht="15.75">
      <c r="A134" s="20" t="s">
        <v>43</v>
      </c>
      <c r="B134" s="24" t="s">
        <v>304</v>
      </c>
      <c r="C134" s="25">
        <f>C63</f>
        <v>0</v>
      </c>
      <c r="D134" s="30">
        <f>D63</f>
        <v>0</v>
      </c>
      <c r="E134" s="24">
        <f>E63</f>
        <v>0</v>
      </c>
      <c r="F134" s="24"/>
      <c r="G134" s="56"/>
      <c r="H134" s="56"/>
      <c r="I134" s="56"/>
      <c r="J134" s="25"/>
    </row>
    <row r="135" spans="1:10" ht="15">
      <c r="A135" s="21">
        <f>A64</f>
        <v>0</v>
      </c>
      <c r="B135" s="26" t="s">
        <v>78</v>
      </c>
      <c r="C135" s="27">
        <f>C64</f>
        <v>0</v>
      </c>
      <c r="D135" s="22"/>
      <c r="E135" s="26"/>
      <c r="F135" s="26"/>
      <c r="J135" s="27"/>
    </row>
    <row r="136" spans="1:10" ht="15">
      <c r="A136" s="23"/>
      <c r="B136" s="57" t="s">
        <v>271</v>
      </c>
      <c r="C136" s="29">
        <f>C65</f>
        <v>0</v>
      </c>
      <c r="D136" s="57"/>
      <c r="E136" s="23"/>
      <c r="F136" s="28" t="s">
        <v>418</v>
      </c>
      <c r="G136" s="57"/>
      <c r="H136" s="57"/>
      <c r="I136" s="57"/>
      <c r="J136" s="29"/>
    </row>
    <row r="137" spans="1:10" ht="15">
      <c r="A137" s="66"/>
      <c r="B137" s="55"/>
      <c r="C137" s="55"/>
      <c r="D137" s="55"/>
      <c r="E137" s="55"/>
      <c r="F137" s="55"/>
      <c r="G137" s="55"/>
      <c r="H137" s="55"/>
      <c r="I137" s="55"/>
      <c r="J137" s="55"/>
    </row>
    <row r="138" spans="1:10" ht="15">
      <c r="A138"/>
      <c r="B138"/>
      <c r="C138"/>
      <c r="D138"/>
      <c r="E138"/>
      <c r="F138"/>
      <c r="G138"/>
      <c r="H138"/>
      <c r="I138"/>
      <c r="J138"/>
    </row>
    <row r="139" spans="1:10" ht="15">
      <c r="A139"/>
      <c r="B139"/>
      <c r="C139"/>
      <c r="D139"/>
      <c r="E139"/>
      <c r="F139"/>
      <c r="G139"/>
      <c r="H139"/>
      <c r="I139"/>
      <c r="J139"/>
    </row>
    <row r="140" spans="1:10" ht="15">
      <c r="A140"/>
      <c r="B140"/>
      <c r="C140"/>
      <c r="D140"/>
      <c r="E140"/>
      <c r="F140"/>
      <c r="G140"/>
      <c r="H140"/>
      <c r="I140"/>
      <c r="J140"/>
    </row>
    <row r="141" spans="1:10" ht="15">
      <c r="A141"/>
      <c r="B141"/>
      <c r="C141"/>
      <c r="D141"/>
      <c r="E141"/>
      <c r="F141"/>
      <c r="G141"/>
      <c r="H141"/>
      <c r="I141"/>
      <c r="J141"/>
    </row>
    <row r="142" spans="1:10" ht="15">
      <c r="A142"/>
      <c r="B142"/>
      <c r="C142"/>
      <c r="D142"/>
      <c r="E142"/>
      <c r="F142"/>
      <c r="G142"/>
      <c r="H142"/>
      <c r="I142"/>
      <c r="J142"/>
    </row>
    <row r="143" spans="1:10" ht="15">
      <c r="A143"/>
      <c r="B143"/>
      <c r="C143"/>
      <c r="D143"/>
      <c r="E143"/>
      <c r="F143"/>
      <c r="G143"/>
      <c r="H143"/>
      <c r="I143"/>
      <c r="J143"/>
    </row>
    <row r="144" spans="1:10" ht="15">
      <c r="A144"/>
      <c r="B144"/>
      <c r="C144"/>
      <c r="D144"/>
      <c r="E144"/>
      <c r="F144"/>
      <c r="G144"/>
      <c r="H144"/>
      <c r="I144"/>
      <c r="J144"/>
    </row>
  </sheetData>
  <sheetProtection/>
  <dataValidations count="1">
    <dataValidation type="list" allowBlank="1" showInputMessage="1" showErrorMessage="1" sqref="D5:J5">
      <formula1>Tantièmes</formula1>
    </dataValidation>
  </dataValidations>
  <printOptions/>
  <pageMargins left="0.2755905511811024" right="0.35433070866141736" top="0.5511811023622047" bottom="0.3937007874015748" header="0.5118110236220472" footer="0.5118110236220472"/>
  <pageSetup blackAndWhite="1" orientation="landscape" paperSize="9" r:id="rId4"/>
  <rowBreaks count="3" manualBreakCount="3">
    <brk id="40" max="255" man="1"/>
    <brk id="73" max="255" man="1"/>
    <brk id="105" max="255" man="1"/>
  </rowBreaks>
  <ignoredErrors>
    <ignoredError sqref="G63:H63" emptyCellReference="1"/>
  </ignoredErrors>
  <drawing r:id="rId3"/>
  <legacyDrawing r:id="rId2"/>
</worksheet>
</file>

<file path=xl/worksheets/sheet10.xml><?xml version="1.0" encoding="utf-8"?>
<worksheet xmlns="http://schemas.openxmlformats.org/spreadsheetml/2006/main" xmlns:r="http://schemas.openxmlformats.org/officeDocument/2006/relationships">
  <sheetPr>
    <tabColor rgb="FFFFC000"/>
  </sheetPr>
  <dimension ref="A1:U42"/>
  <sheetViews>
    <sheetView showGridLines="0" zoomScalePageLayoutView="0" workbookViewId="0" topLeftCell="A4">
      <selection activeCell="B27" sqref="B27"/>
    </sheetView>
  </sheetViews>
  <sheetFormatPr defaultColWidth="11.421875" defaultRowHeight="12.75"/>
  <cols>
    <col min="1" max="1" width="24.00390625" style="156" customWidth="1"/>
    <col min="2" max="2" width="12.421875" style="156" bestFit="1" customWidth="1"/>
    <col min="3" max="16384" width="11.421875" style="156" customWidth="1"/>
  </cols>
  <sheetData>
    <row r="1" spans="1:2" ht="15.75">
      <c r="A1" s="10" t="s">
        <v>103</v>
      </c>
      <c r="B1" s="313"/>
    </row>
    <row r="2" ht="15.75">
      <c r="A2" s="314">
        <f>Copropriété!C109</f>
        <v>42035</v>
      </c>
    </row>
    <row r="4" spans="3:21" ht="12.75">
      <c r="C4" s="367" t="s">
        <v>180</v>
      </c>
      <c r="D4" s="367" t="s">
        <v>458</v>
      </c>
      <c r="E4" s="367" t="s">
        <v>459</v>
      </c>
      <c r="F4" s="367" t="s">
        <v>460</v>
      </c>
      <c r="G4" s="367" t="s">
        <v>461</v>
      </c>
      <c r="H4" s="367" t="s">
        <v>462</v>
      </c>
      <c r="I4" s="367" t="s">
        <v>113</v>
      </c>
      <c r="J4" s="367" t="s">
        <v>114</v>
      </c>
      <c r="K4" s="367" t="s">
        <v>279</v>
      </c>
      <c r="L4" s="367" t="s">
        <v>280</v>
      </c>
      <c r="M4" s="367" t="s">
        <v>98</v>
      </c>
      <c r="N4" s="367" t="s">
        <v>99</v>
      </c>
      <c r="O4" s="367" t="s">
        <v>16</v>
      </c>
      <c r="P4" s="367" t="s">
        <v>17</v>
      </c>
      <c r="Q4" s="367" t="s">
        <v>18</v>
      </c>
      <c r="R4" s="367" t="s">
        <v>377</v>
      </c>
      <c r="S4" s="367" t="s">
        <v>14</v>
      </c>
      <c r="T4" s="367" t="s">
        <v>15</v>
      </c>
      <c r="U4" s="367" t="s">
        <v>381</v>
      </c>
    </row>
    <row r="5" spans="2:21" ht="12.75">
      <c r="B5" s="368" t="s">
        <v>307</v>
      </c>
      <c r="C5" s="369" t="s">
        <v>442</v>
      </c>
      <c r="D5" s="369" t="s">
        <v>442</v>
      </c>
      <c r="E5" s="369" t="s">
        <v>442</v>
      </c>
      <c r="F5" s="369" t="s">
        <v>152</v>
      </c>
      <c r="G5" s="369" t="s">
        <v>442</v>
      </c>
      <c r="H5" s="369" t="s">
        <v>152</v>
      </c>
      <c r="I5" s="369" t="s">
        <v>442</v>
      </c>
      <c r="J5" s="369" t="s">
        <v>152</v>
      </c>
      <c r="K5" s="369" t="s">
        <v>442</v>
      </c>
      <c r="L5" s="369" t="s">
        <v>152</v>
      </c>
      <c r="M5" s="369" t="s">
        <v>442</v>
      </c>
      <c r="N5" s="369" t="s">
        <v>152</v>
      </c>
      <c r="O5" s="369" t="s">
        <v>442</v>
      </c>
      <c r="P5" s="369" t="s">
        <v>152</v>
      </c>
      <c r="Q5" s="369" t="s">
        <v>442</v>
      </c>
      <c r="R5" s="369" t="s">
        <v>152</v>
      </c>
      <c r="S5" s="369" t="s">
        <v>152</v>
      </c>
      <c r="T5" s="369" t="s">
        <v>442</v>
      </c>
      <c r="U5" s="369" t="s">
        <v>152</v>
      </c>
    </row>
    <row r="6" spans="1:21" ht="12.75">
      <c r="A6" s="370" t="str">
        <f>Copropriété!A6</f>
        <v>Lot n°1</v>
      </c>
      <c r="B6" s="413">
        <f>IF(B7="Oui",1,0)</f>
        <v>1</v>
      </c>
      <c r="C6" s="372" t="s">
        <v>121</v>
      </c>
      <c r="D6" s="372" t="s">
        <v>123</v>
      </c>
      <c r="E6" s="372" t="s">
        <v>123</v>
      </c>
      <c r="F6" s="372" t="s">
        <v>123</v>
      </c>
      <c r="G6" s="372" t="s">
        <v>123</v>
      </c>
      <c r="H6" s="372" t="s">
        <v>123</v>
      </c>
      <c r="I6" s="372" t="s">
        <v>123</v>
      </c>
      <c r="J6" s="372" t="s">
        <v>123</v>
      </c>
      <c r="K6" s="372" t="s">
        <v>123</v>
      </c>
      <c r="L6" s="372" t="s">
        <v>123</v>
      </c>
      <c r="M6" s="372" t="s">
        <v>123</v>
      </c>
      <c r="N6" s="372" t="s">
        <v>123</v>
      </c>
      <c r="O6" s="372" t="s">
        <v>123</v>
      </c>
      <c r="P6" s="372" t="s">
        <v>123</v>
      </c>
      <c r="Q6" s="372" t="s">
        <v>123</v>
      </c>
      <c r="R6" s="372" t="s">
        <v>123</v>
      </c>
      <c r="S6" s="372" t="s">
        <v>123</v>
      </c>
      <c r="T6" s="372" t="s">
        <v>123</v>
      </c>
      <c r="U6" s="372" t="s">
        <v>123</v>
      </c>
    </row>
    <row r="7" spans="1:21" ht="12.75">
      <c r="A7" s="373" t="str">
        <f>Copropriété!C6</f>
        <v>ATCHOUM</v>
      </c>
      <c r="B7" s="374" t="s">
        <v>121</v>
      </c>
      <c r="C7" s="375">
        <f aca="true" t="shared" si="0" ref="C7:U7">IF(C6="Oui",C35,0)</f>
        <v>143</v>
      </c>
      <c r="D7" s="375">
        <f t="shared" si="0"/>
        <v>0</v>
      </c>
      <c r="E7" s="375">
        <f t="shared" si="0"/>
        <v>0</v>
      </c>
      <c r="F7" s="375">
        <f t="shared" si="0"/>
        <v>0</v>
      </c>
      <c r="G7" s="375">
        <f t="shared" si="0"/>
        <v>0</v>
      </c>
      <c r="H7" s="375">
        <f t="shared" si="0"/>
        <v>0</v>
      </c>
      <c r="I7" s="375">
        <f t="shared" si="0"/>
        <v>0</v>
      </c>
      <c r="J7" s="375">
        <f t="shared" si="0"/>
        <v>0</v>
      </c>
      <c r="K7" s="375">
        <f t="shared" si="0"/>
        <v>0</v>
      </c>
      <c r="L7" s="375">
        <f t="shared" si="0"/>
        <v>0</v>
      </c>
      <c r="M7" s="375">
        <f t="shared" si="0"/>
        <v>0</v>
      </c>
      <c r="N7" s="375">
        <f t="shared" si="0"/>
        <v>0</v>
      </c>
      <c r="O7" s="375">
        <f t="shared" si="0"/>
        <v>0</v>
      </c>
      <c r="P7" s="375">
        <f t="shared" si="0"/>
        <v>0</v>
      </c>
      <c r="Q7" s="375">
        <f t="shared" si="0"/>
        <v>0</v>
      </c>
      <c r="R7" s="375">
        <f t="shared" si="0"/>
        <v>0</v>
      </c>
      <c r="S7" s="375">
        <f t="shared" si="0"/>
        <v>0</v>
      </c>
      <c r="T7" s="375">
        <f t="shared" si="0"/>
        <v>0</v>
      </c>
      <c r="U7" s="375">
        <f t="shared" si="0"/>
        <v>0</v>
      </c>
    </row>
    <row r="8" spans="1:21" ht="12.75">
      <c r="A8" s="370" t="str">
        <f>Copropriété!A11</f>
        <v>Lot n°2</v>
      </c>
      <c r="B8" s="413">
        <f>IF(B9="Oui",1,0)</f>
        <v>1</v>
      </c>
      <c r="C8" s="372" t="s">
        <v>121</v>
      </c>
      <c r="D8" s="372" t="s">
        <v>123</v>
      </c>
      <c r="E8" s="372" t="s">
        <v>123</v>
      </c>
      <c r="F8" s="372" t="s">
        <v>123</v>
      </c>
      <c r="G8" s="372" t="s">
        <v>123</v>
      </c>
      <c r="H8" s="372" t="s">
        <v>123</v>
      </c>
      <c r="I8" s="372" t="s">
        <v>123</v>
      </c>
      <c r="J8" s="372" t="s">
        <v>123</v>
      </c>
      <c r="K8" s="372" t="s">
        <v>123</v>
      </c>
      <c r="L8" s="372" t="s">
        <v>123</v>
      </c>
      <c r="M8" s="372" t="s">
        <v>123</v>
      </c>
      <c r="N8" s="372" t="s">
        <v>123</v>
      </c>
      <c r="O8" s="372" t="s">
        <v>123</v>
      </c>
      <c r="P8" s="372" t="s">
        <v>123</v>
      </c>
      <c r="Q8" s="372" t="s">
        <v>123</v>
      </c>
      <c r="R8" s="372" t="s">
        <v>123</v>
      </c>
      <c r="S8" s="372" t="s">
        <v>123</v>
      </c>
      <c r="T8" s="372" t="s">
        <v>123</v>
      </c>
      <c r="U8" s="372" t="s">
        <v>123</v>
      </c>
    </row>
    <row r="9" spans="1:21" ht="12.75">
      <c r="A9" s="373" t="str">
        <f>Copropriété!C11</f>
        <v>ATCHOUM</v>
      </c>
      <c r="B9" s="374" t="s">
        <v>121</v>
      </c>
      <c r="C9" s="375">
        <f aca="true" t="shared" si="1" ref="C9:U9">IF(C8="Oui",C36,0)</f>
        <v>162</v>
      </c>
      <c r="D9" s="375">
        <f t="shared" si="1"/>
        <v>0</v>
      </c>
      <c r="E9" s="375">
        <f t="shared" si="1"/>
        <v>0</v>
      </c>
      <c r="F9" s="375">
        <f t="shared" si="1"/>
        <v>0</v>
      </c>
      <c r="G9" s="375">
        <f t="shared" si="1"/>
        <v>0</v>
      </c>
      <c r="H9" s="375">
        <f t="shared" si="1"/>
        <v>0</v>
      </c>
      <c r="I9" s="375">
        <f t="shared" si="1"/>
        <v>0</v>
      </c>
      <c r="J9" s="375">
        <f t="shared" si="1"/>
        <v>0</v>
      </c>
      <c r="K9" s="375">
        <f t="shared" si="1"/>
        <v>0</v>
      </c>
      <c r="L9" s="375">
        <f t="shared" si="1"/>
        <v>0</v>
      </c>
      <c r="M9" s="375">
        <f t="shared" si="1"/>
        <v>0</v>
      </c>
      <c r="N9" s="375">
        <f t="shared" si="1"/>
        <v>0</v>
      </c>
      <c r="O9" s="375">
        <f t="shared" si="1"/>
        <v>0</v>
      </c>
      <c r="P9" s="375">
        <f t="shared" si="1"/>
        <v>0</v>
      </c>
      <c r="Q9" s="375">
        <f t="shared" si="1"/>
        <v>0</v>
      </c>
      <c r="R9" s="375">
        <f t="shared" si="1"/>
        <v>0</v>
      </c>
      <c r="S9" s="375">
        <f t="shared" si="1"/>
        <v>0</v>
      </c>
      <c r="T9" s="375">
        <f t="shared" si="1"/>
        <v>0</v>
      </c>
      <c r="U9" s="375">
        <f t="shared" si="1"/>
        <v>0</v>
      </c>
    </row>
    <row r="10" spans="1:21" ht="12.75">
      <c r="A10" s="370" t="str">
        <f>Copropriété!A16</f>
        <v>Lot n°3</v>
      </c>
      <c r="B10" s="413">
        <f>IF(B11="Oui",1,0)</f>
        <v>0</v>
      </c>
      <c r="C10" s="372" t="s">
        <v>122</v>
      </c>
      <c r="D10" s="372" t="s">
        <v>123</v>
      </c>
      <c r="E10" s="372" t="s">
        <v>123</v>
      </c>
      <c r="F10" s="372" t="s">
        <v>123</v>
      </c>
      <c r="G10" s="372" t="s">
        <v>123</v>
      </c>
      <c r="H10" s="372" t="s">
        <v>123</v>
      </c>
      <c r="I10" s="372" t="s">
        <v>123</v>
      </c>
      <c r="J10" s="372" t="s">
        <v>123</v>
      </c>
      <c r="K10" s="372" t="s">
        <v>123</v>
      </c>
      <c r="L10" s="372" t="s">
        <v>123</v>
      </c>
      <c r="M10" s="372" t="s">
        <v>123</v>
      </c>
      <c r="N10" s="372" t="s">
        <v>123</v>
      </c>
      <c r="O10" s="372" t="s">
        <v>123</v>
      </c>
      <c r="P10" s="372" t="s">
        <v>123</v>
      </c>
      <c r="Q10" s="372" t="s">
        <v>123</v>
      </c>
      <c r="R10" s="372" t="s">
        <v>123</v>
      </c>
      <c r="S10" s="372" t="s">
        <v>123</v>
      </c>
      <c r="T10" s="372" t="s">
        <v>123</v>
      </c>
      <c r="U10" s="372" t="s">
        <v>123</v>
      </c>
    </row>
    <row r="11" spans="1:21" ht="12.75">
      <c r="A11" s="373" t="str">
        <f>Copropriété!C16</f>
        <v>GRINCHEUX</v>
      </c>
      <c r="B11" s="374" t="s">
        <v>122</v>
      </c>
      <c r="C11" s="375">
        <f aca="true" t="shared" si="2" ref="C11:U11">IF(C10="Oui",C37,0)</f>
        <v>0</v>
      </c>
      <c r="D11" s="375">
        <f t="shared" si="2"/>
        <v>0</v>
      </c>
      <c r="E11" s="375">
        <f t="shared" si="2"/>
        <v>0</v>
      </c>
      <c r="F11" s="375">
        <f t="shared" si="2"/>
        <v>0</v>
      </c>
      <c r="G11" s="375">
        <f t="shared" si="2"/>
        <v>0</v>
      </c>
      <c r="H11" s="375">
        <f t="shared" si="2"/>
        <v>0</v>
      </c>
      <c r="I11" s="375">
        <f t="shared" si="2"/>
        <v>0</v>
      </c>
      <c r="J11" s="375">
        <f t="shared" si="2"/>
        <v>0</v>
      </c>
      <c r="K11" s="375">
        <f t="shared" si="2"/>
        <v>0</v>
      </c>
      <c r="L11" s="375">
        <f t="shared" si="2"/>
        <v>0</v>
      </c>
      <c r="M11" s="375">
        <f t="shared" si="2"/>
        <v>0</v>
      </c>
      <c r="N11" s="375">
        <f t="shared" si="2"/>
        <v>0</v>
      </c>
      <c r="O11" s="375">
        <f t="shared" si="2"/>
        <v>0</v>
      </c>
      <c r="P11" s="375">
        <f t="shared" si="2"/>
        <v>0</v>
      </c>
      <c r="Q11" s="375">
        <f t="shared" si="2"/>
        <v>0</v>
      </c>
      <c r="R11" s="375">
        <f t="shared" si="2"/>
        <v>0</v>
      </c>
      <c r="S11" s="375">
        <f t="shared" si="2"/>
        <v>0</v>
      </c>
      <c r="T11" s="375">
        <f t="shared" si="2"/>
        <v>0</v>
      </c>
      <c r="U11" s="375">
        <f t="shared" si="2"/>
        <v>0</v>
      </c>
    </row>
    <row r="12" spans="1:21" ht="12.75">
      <c r="A12" s="370" t="str">
        <f>Copropriété!A21</f>
        <v>Lot n°4</v>
      </c>
      <c r="B12" s="413">
        <f>IF(B13="Oui",1,0)</f>
        <v>1</v>
      </c>
      <c r="C12" s="372" t="s">
        <v>121</v>
      </c>
      <c r="D12" s="372" t="s">
        <v>123</v>
      </c>
      <c r="E12" s="372" t="s">
        <v>123</v>
      </c>
      <c r="F12" s="372" t="s">
        <v>123</v>
      </c>
      <c r="G12" s="372" t="s">
        <v>123</v>
      </c>
      <c r="H12" s="372" t="s">
        <v>123</v>
      </c>
      <c r="I12" s="372" t="s">
        <v>123</v>
      </c>
      <c r="J12" s="372" t="s">
        <v>123</v>
      </c>
      <c r="K12" s="372" t="s">
        <v>123</v>
      </c>
      <c r="L12" s="372" t="s">
        <v>123</v>
      </c>
      <c r="M12" s="372" t="s">
        <v>123</v>
      </c>
      <c r="N12" s="372" t="s">
        <v>123</v>
      </c>
      <c r="O12" s="372" t="s">
        <v>123</v>
      </c>
      <c r="P12" s="372" t="s">
        <v>123</v>
      </c>
      <c r="Q12" s="372" t="s">
        <v>123</v>
      </c>
      <c r="R12" s="372" t="s">
        <v>123</v>
      </c>
      <c r="S12" s="372" t="s">
        <v>123</v>
      </c>
      <c r="T12" s="372" t="s">
        <v>123</v>
      </c>
      <c r="U12" s="372" t="s">
        <v>123</v>
      </c>
    </row>
    <row r="13" spans="1:21" ht="12.75">
      <c r="A13" s="373" t="str">
        <f>Copropriété!C21</f>
        <v>SIMPLET</v>
      </c>
      <c r="B13" s="374" t="s">
        <v>121</v>
      </c>
      <c r="C13" s="375">
        <f aca="true" t="shared" si="3" ref="C13:U13">IF(C12="Oui",C38,0)</f>
        <v>181</v>
      </c>
      <c r="D13" s="375">
        <f t="shared" si="3"/>
        <v>0</v>
      </c>
      <c r="E13" s="375">
        <f t="shared" si="3"/>
        <v>0</v>
      </c>
      <c r="F13" s="375">
        <f t="shared" si="3"/>
        <v>0</v>
      </c>
      <c r="G13" s="375">
        <f t="shared" si="3"/>
        <v>0</v>
      </c>
      <c r="H13" s="375">
        <f t="shared" si="3"/>
        <v>0</v>
      </c>
      <c r="I13" s="375">
        <f t="shared" si="3"/>
        <v>0</v>
      </c>
      <c r="J13" s="375">
        <f t="shared" si="3"/>
        <v>0</v>
      </c>
      <c r="K13" s="375">
        <f t="shared" si="3"/>
        <v>0</v>
      </c>
      <c r="L13" s="375">
        <f t="shared" si="3"/>
        <v>0</v>
      </c>
      <c r="M13" s="375">
        <f t="shared" si="3"/>
        <v>0</v>
      </c>
      <c r="N13" s="375">
        <f t="shared" si="3"/>
        <v>0</v>
      </c>
      <c r="O13" s="375">
        <f t="shared" si="3"/>
        <v>0</v>
      </c>
      <c r="P13" s="375">
        <f t="shared" si="3"/>
        <v>0</v>
      </c>
      <c r="Q13" s="375">
        <f t="shared" si="3"/>
        <v>0</v>
      </c>
      <c r="R13" s="375">
        <f t="shared" si="3"/>
        <v>0</v>
      </c>
      <c r="S13" s="375">
        <f t="shared" si="3"/>
        <v>0</v>
      </c>
      <c r="T13" s="375">
        <f t="shared" si="3"/>
        <v>0</v>
      </c>
      <c r="U13" s="375">
        <f t="shared" si="3"/>
        <v>0</v>
      </c>
    </row>
    <row r="14" spans="1:21" ht="12.75">
      <c r="A14" s="370" t="str">
        <f>Copropriété!A26</f>
        <v>Lot n°5</v>
      </c>
      <c r="B14" s="413">
        <f>IF(B15="Oui",1,0)</f>
        <v>0</v>
      </c>
      <c r="C14" s="372" t="s">
        <v>122</v>
      </c>
      <c r="D14" s="372" t="s">
        <v>123</v>
      </c>
      <c r="E14" s="372" t="s">
        <v>123</v>
      </c>
      <c r="F14" s="372" t="s">
        <v>123</v>
      </c>
      <c r="G14" s="372" t="s">
        <v>123</v>
      </c>
      <c r="H14" s="372" t="s">
        <v>123</v>
      </c>
      <c r="I14" s="372" t="s">
        <v>123</v>
      </c>
      <c r="J14" s="372" t="s">
        <v>123</v>
      </c>
      <c r="K14" s="372" t="s">
        <v>123</v>
      </c>
      <c r="L14" s="372" t="s">
        <v>123</v>
      </c>
      <c r="M14" s="372" t="s">
        <v>123</v>
      </c>
      <c r="N14" s="372" t="s">
        <v>123</v>
      </c>
      <c r="O14" s="372" t="s">
        <v>123</v>
      </c>
      <c r="P14" s="372" t="s">
        <v>123</v>
      </c>
      <c r="Q14" s="372" t="s">
        <v>123</v>
      </c>
      <c r="R14" s="372" t="s">
        <v>123</v>
      </c>
      <c r="S14" s="372" t="s">
        <v>123</v>
      </c>
      <c r="T14" s="372" t="s">
        <v>123</v>
      </c>
      <c r="U14" s="372" t="s">
        <v>123</v>
      </c>
    </row>
    <row r="15" spans="1:21" ht="12.75">
      <c r="A15" s="373" t="str">
        <f>Copropriété!C26</f>
        <v>DORMEUR</v>
      </c>
      <c r="B15" s="374" t="s">
        <v>122</v>
      </c>
      <c r="C15" s="376">
        <f aca="true" t="shared" si="4" ref="C15:U15">IF(C14="Oui",C39,0)</f>
        <v>0</v>
      </c>
      <c r="D15" s="376">
        <f t="shared" si="4"/>
        <v>0</v>
      </c>
      <c r="E15" s="376">
        <f t="shared" si="4"/>
        <v>0</v>
      </c>
      <c r="F15" s="376">
        <f t="shared" si="4"/>
        <v>0</v>
      </c>
      <c r="G15" s="376">
        <f t="shared" si="4"/>
        <v>0</v>
      </c>
      <c r="H15" s="376">
        <f t="shared" si="4"/>
        <v>0</v>
      </c>
      <c r="I15" s="376">
        <f t="shared" si="4"/>
        <v>0</v>
      </c>
      <c r="J15" s="376">
        <f t="shared" si="4"/>
        <v>0</v>
      </c>
      <c r="K15" s="376">
        <f t="shared" si="4"/>
        <v>0</v>
      </c>
      <c r="L15" s="376">
        <f t="shared" si="4"/>
        <v>0</v>
      </c>
      <c r="M15" s="376">
        <f t="shared" si="4"/>
        <v>0</v>
      </c>
      <c r="N15" s="376">
        <f t="shared" si="4"/>
        <v>0</v>
      </c>
      <c r="O15" s="376">
        <f t="shared" si="4"/>
        <v>0</v>
      </c>
      <c r="P15" s="376">
        <f t="shared" si="4"/>
        <v>0</v>
      </c>
      <c r="Q15" s="376">
        <f t="shared" si="4"/>
        <v>0</v>
      </c>
      <c r="R15" s="376">
        <f t="shared" si="4"/>
        <v>0</v>
      </c>
      <c r="S15" s="376">
        <f t="shared" si="4"/>
        <v>0</v>
      </c>
      <c r="T15" s="376">
        <f t="shared" si="4"/>
        <v>0</v>
      </c>
      <c r="U15" s="376">
        <f t="shared" si="4"/>
        <v>0</v>
      </c>
    </row>
    <row r="16" spans="1:21" ht="12.75">
      <c r="A16" s="370" t="str">
        <f>Copropriété!A31</f>
        <v>Lot n°6</v>
      </c>
      <c r="B16" s="413">
        <f>IF(B17="Oui",1,0)</f>
        <v>1</v>
      </c>
      <c r="C16" s="372" t="s">
        <v>121</v>
      </c>
      <c r="D16" s="372" t="s">
        <v>123</v>
      </c>
      <c r="E16" s="372" t="s">
        <v>123</v>
      </c>
      <c r="F16" s="372" t="s">
        <v>123</v>
      </c>
      <c r="G16" s="372" t="s">
        <v>123</v>
      </c>
      <c r="H16" s="372" t="s">
        <v>123</v>
      </c>
      <c r="I16" s="372" t="s">
        <v>123</v>
      </c>
      <c r="J16" s="372" t="s">
        <v>123</v>
      </c>
      <c r="K16" s="372" t="s">
        <v>123</v>
      </c>
      <c r="L16" s="372" t="s">
        <v>123</v>
      </c>
      <c r="M16" s="372" t="s">
        <v>123</v>
      </c>
      <c r="N16" s="372" t="s">
        <v>123</v>
      </c>
      <c r="O16" s="372" t="s">
        <v>123</v>
      </c>
      <c r="P16" s="372" t="s">
        <v>123</v>
      </c>
      <c r="Q16" s="372" t="s">
        <v>123</v>
      </c>
      <c r="R16" s="372" t="s">
        <v>123</v>
      </c>
      <c r="S16" s="372" t="s">
        <v>123</v>
      </c>
      <c r="T16" s="372" t="s">
        <v>123</v>
      </c>
      <c r="U16" s="372" t="s">
        <v>123</v>
      </c>
    </row>
    <row r="17" spans="1:21" ht="12.75">
      <c r="A17" s="373" t="str">
        <f>Copropriété!C31</f>
        <v>PROF</v>
      </c>
      <c r="B17" s="374" t="s">
        <v>121</v>
      </c>
      <c r="C17" s="376">
        <f aca="true" t="shared" si="5" ref="C17:U17">IF(C16="Oui",C40,0)</f>
        <v>182</v>
      </c>
      <c r="D17" s="376">
        <f t="shared" si="5"/>
        <v>0</v>
      </c>
      <c r="E17" s="376">
        <f t="shared" si="5"/>
        <v>0</v>
      </c>
      <c r="F17" s="376">
        <f t="shared" si="5"/>
        <v>0</v>
      </c>
      <c r="G17" s="376">
        <f t="shared" si="5"/>
        <v>0</v>
      </c>
      <c r="H17" s="376">
        <f t="shared" si="5"/>
        <v>0</v>
      </c>
      <c r="I17" s="376">
        <f t="shared" si="5"/>
        <v>0</v>
      </c>
      <c r="J17" s="376">
        <f t="shared" si="5"/>
        <v>0</v>
      </c>
      <c r="K17" s="376">
        <f t="shared" si="5"/>
        <v>0</v>
      </c>
      <c r="L17" s="376">
        <f t="shared" si="5"/>
        <v>0</v>
      </c>
      <c r="M17" s="376">
        <f t="shared" si="5"/>
        <v>0</v>
      </c>
      <c r="N17" s="376">
        <f t="shared" si="5"/>
        <v>0</v>
      </c>
      <c r="O17" s="376">
        <f t="shared" si="5"/>
        <v>0</v>
      </c>
      <c r="P17" s="376">
        <f t="shared" si="5"/>
        <v>0</v>
      </c>
      <c r="Q17" s="376">
        <f t="shared" si="5"/>
        <v>0</v>
      </c>
      <c r="R17" s="376">
        <f t="shared" si="5"/>
        <v>0</v>
      </c>
      <c r="S17" s="376">
        <f t="shared" si="5"/>
        <v>0</v>
      </c>
      <c r="T17" s="376">
        <f t="shared" si="5"/>
        <v>0</v>
      </c>
      <c r="U17" s="376">
        <f t="shared" si="5"/>
        <v>0</v>
      </c>
    </row>
    <row r="18" spans="1:21" ht="12.75">
      <c r="A18" s="370" t="str">
        <f>Copropriété!A36</f>
        <v>Lot n°7</v>
      </c>
      <c r="B18" s="413">
        <f>IF(B19="Oui",1,0)</f>
        <v>0</v>
      </c>
      <c r="C18" s="372" t="s">
        <v>121</v>
      </c>
      <c r="D18" s="372" t="s">
        <v>123</v>
      </c>
      <c r="E18" s="372" t="s">
        <v>123</v>
      </c>
      <c r="F18" s="372" t="s">
        <v>123</v>
      </c>
      <c r="G18" s="372" t="s">
        <v>123</v>
      </c>
      <c r="H18" s="372" t="s">
        <v>123</v>
      </c>
      <c r="I18" s="372" t="s">
        <v>123</v>
      </c>
      <c r="J18" s="372" t="s">
        <v>123</v>
      </c>
      <c r="K18" s="372" t="s">
        <v>123</v>
      </c>
      <c r="L18" s="372" t="s">
        <v>123</v>
      </c>
      <c r="M18" s="372" t="s">
        <v>123</v>
      </c>
      <c r="N18" s="372" t="s">
        <v>123</v>
      </c>
      <c r="O18" s="372" t="s">
        <v>123</v>
      </c>
      <c r="P18" s="372" t="s">
        <v>123</v>
      </c>
      <c r="Q18" s="372" t="s">
        <v>123</v>
      </c>
      <c r="R18" s="372" t="s">
        <v>123</v>
      </c>
      <c r="S18" s="372" t="s">
        <v>123</v>
      </c>
      <c r="T18" s="372" t="s">
        <v>123</v>
      </c>
      <c r="U18" s="372" t="s">
        <v>123</v>
      </c>
    </row>
    <row r="19" spans="1:21" ht="12.75">
      <c r="A19" s="373" t="str">
        <f>Copropriété!C36</f>
        <v>TIMIDE</v>
      </c>
      <c r="B19" s="374" t="s">
        <v>122</v>
      </c>
      <c r="C19" s="376">
        <f aca="true" t="shared" si="6" ref="C19:U19">IF(C18="Oui",C41,0)</f>
        <v>0</v>
      </c>
      <c r="D19" s="376">
        <f t="shared" si="6"/>
        <v>0</v>
      </c>
      <c r="E19" s="376">
        <f t="shared" si="6"/>
        <v>0</v>
      </c>
      <c r="F19" s="376">
        <f t="shared" si="6"/>
        <v>0</v>
      </c>
      <c r="G19" s="376">
        <f t="shared" si="6"/>
        <v>0</v>
      </c>
      <c r="H19" s="376">
        <f t="shared" si="6"/>
        <v>0</v>
      </c>
      <c r="I19" s="376">
        <f t="shared" si="6"/>
        <v>0</v>
      </c>
      <c r="J19" s="376">
        <f t="shared" si="6"/>
        <v>0</v>
      </c>
      <c r="K19" s="376">
        <f t="shared" si="6"/>
        <v>0</v>
      </c>
      <c r="L19" s="376">
        <f t="shared" si="6"/>
        <v>0</v>
      </c>
      <c r="M19" s="376">
        <f t="shared" si="6"/>
        <v>0</v>
      </c>
      <c r="N19" s="376">
        <f t="shared" si="6"/>
        <v>0</v>
      </c>
      <c r="O19" s="376">
        <f t="shared" si="6"/>
        <v>0</v>
      </c>
      <c r="P19" s="376">
        <f t="shared" si="6"/>
        <v>0</v>
      </c>
      <c r="Q19" s="376">
        <f t="shared" si="6"/>
        <v>0</v>
      </c>
      <c r="R19" s="376">
        <f t="shared" si="6"/>
        <v>0</v>
      </c>
      <c r="S19" s="376">
        <f t="shared" si="6"/>
        <v>0</v>
      </c>
      <c r="T19" s="376">
        <f t="shared" si="6"/>
        <v>0</v>
      </c>
      <c r="U19" s="376">
        <f t="shared" si="6"/>
        <v>0</v>
      </c>
    </row>
    <row r="20" spans="1:21" ht="12.75">
      <c r="A20" s="373" t="s">
        <v>244</v>
      </c>
      <c r="B20" s="377"/>
      <c r="C20" s="378">
        <v>1000</v>
      </c>
      <c r="D20" s="378">
        <v>1000</v>
      </c>
      <c r="E20" s="378">
        <v>1000</v>
      </c>
      <c r="F20" s="378">
        <v>1000</v>
      </c>
      <c r="G20" s="378">
        <v>1000</v>
      </c>
      <c r="H20" s="378">
        <v>1000</v>
      </c>
      <c r="I20" s="378">
        <v>1000</v>
      </c>
      <c r="J20" s="378">
        <v>1000</v>
      </c>
      <c r="K20" s="378">
        <v>1000</v>
      </c>
      <c r="L20" s="378">
        <v>1000</v>
      </c>
      <c r="M20" s="378">
        <v>1000</v>
      </c>
      <c r="N20" s="378">
        <v>1000</v>
      </c>
      <c r="O20" s="378">
        <v>1000</v>
      </c>
      <c r="P20" s="378">
        <v>1000</v>
      </c>
      <c r="Q20" s="378">
        <v>1000</v>
      </c>
      <c r="R20" s="378">
        <v>1000</v>
      </c>
      <c r="S20" s="378">
        <v>1000</v>
      </c>
      <c r="T20" s="378">
        <v>1000</v>
      </c>
      <c r="U20" s="378">
        <v>1000</v>
      </c>
    </row>
    <row r="21" spans="1:21" ht="12.75">
      <c r="A21" s="373" t="s">
        <v>71</v>
      </c>
      <c r="B21" s="377"/>
      <c r="C21" s="378">
        <f>C42</f>
        <v>668</v>
      </c>
      <c r="D21" s="378">
        <f aca="true" t="shared" si="7" ref="D21:J21">D42</f>
        <v>668</v>
      </c>
      <c r="E21" s="378">
        <f t="shared" si="7"/>
        <v>668</v>
      </c>
      <c r="F21" s="378">
        <f t="shared" si="7"/>
        <v>668</v>
      </c>
      <c r="G21" s="378">
        <f t="shared" si="7"/>
        <v>668</v>
      </c>
      <c r="H21" s="378">
        <f t="shared" si="7"/>
        <v>668</v>
      </c>
      <c r="I21" s="378">
        <f t="shared" si="7"/>
        <v>668</v>
      </c>
      <c r="J21" s="378">
        <f t="shared" si="7"/>
        <v>668</v>
      </c>
      <c r="K21" s="378">
        <f>K42</f>
        <v>668</v>
      </c>
      <c r="L21" s="378">
        <f aca="true" t="shared" si="8" ref="L21:R21">L42</f>
        <v>668</v>
      </c>
      <c r="M21" s="378">
        <f t="shared" si="8"/>
        <v>668</v>
      </c>
      <c r="N21" s="378">
        <f t="shared" si="8"/>
        <v>668</v>
      </c>
      <c r="O21" s="378">
        <f t="shared" si="8"/>
        <v>668</v>
      </c>
      <c r="P21" s="378">
        <f t="shared" si="8"/>
        <v>668</v>
      </c>
      <c r="Q21" s="378">
        <f t="shared" si="8"/>
        <v>668</v>
      </c>
      <c r="R21" s="378">
        <f t="shared" si="8"/>
        <v>668</v>
      </c>
      <c r="S21" s="378">
        <f>S42</f>
        <v>668</v>
      </c>
      <c r="T21" s="378">
        <f>T42</f>
        <v>668</v>
      </c>
      <c r="U21" s="378">
        <f>U42</f>
        <v>668</v>
      </c>
    </row>
    <row r="22" spans="1:21" ht="12.75">
      <c r="A22" s="373" t="s">
        <v>457</v>
      </c>
      <c r="B22" s="377"/>
      <c r="C22" s="378">
        <f>C7+C9+C11+C13+C15+C17+C19</f>
        <v>668</v>
      </c>
      <c r="D22" s="378">
        <f aca="true" t="shared" si="9" ref="D22:U22">D7+D9+D11+D13+D15+D17+D19</f>
        <v>0</v>
      </c>
      <c r="E22" s="378">
        <f t="shared" si="9"/>
        <v>0</v>
      </c>
      <c r="F22" s="378">
        <f t="shared" si="9"/>
        <v>0</v>
      </c>
      <c r="G22" s="378">
        <f t="shared" si="9"/>
        <v>0</v>
      </c>
      <c r="H22" s="378">
        <f t="shared" si="9"/>
        <v>0</v>
      </c>
      <c r="I22" s="378">
        <f t="shared" si="9"/>
        <v>0</v>
      </c>
      <c r="J22" s="378">
        <f t="shared" si="9"/>
        <v>0</v>
      </c>
      <c r="K22" s="378">
        <f t="shared" si="9"/>
        <v>0</v>
      </c>
      <c r="L22" s="378">
        <f t="shared" si="9"/>
        <v>0</v>
      </c>
      <c r="M22" s="378">
        <f t="shared" si="9"/>
        <v>0</v>
      </c>
      <c r="N22" s="378">
        <f t="shared" si="9"/>
        <v>0</v>
      </c>
      <c r="O22" s="378">
        <f t="shared" si="9"/>
        <v>0</v>
      </c>
      <c r="P22" s="378">
        <f t="shared" si="9"/>
        <v>0</v>
      </c>
      <c r="Q22" s="378">
        <f t="shared" si="9"/>
        <v>0</v>
      </c>
      <c r="R22" s="378">
        <f t="shared" si="9"/>
        <v>0</v>
      </c>
      <c r="S22" s="378">
        <f t="shared" si="9"/>
        <v>0</v>
      </c>
      <c r="T22" s="378">
        <f t="shared" si="9"/>
        <v>0</v>
      </c>
      <c r="U22" s="378">
        <f t="shared" si="9"/>
        <v>0</v>
      </c>
    </row>
    <row r="23" spans="1:21" ht="12.75">
      <c r="A23" s="368" t="s">
        <v>308</v>
      </c>
      <c r="B23" s="379"/>
      <c r="C23" s="367" t="str">
        <f>IF(C7+C9+C11+C13+C15+C17+C19&gt;((C35+C36+C37+C38+C39+C40+C41)/2),"Adopté","Rejeté")</f>
        <v>Adopté</v>
      </c>
      <c r="D23" s="367" t="str">
        <f aca="true" t="shared" si="10" ref="D23:U23">IF(D7+D9+D11+D13+D15+D17+D19&gt;((D35+D36+D37+D38+D39+D40+D41)/2),"Adopté","Rejeté")</f>
        <v>Rejeté</v>
      </c>
      <c r="E23" s="367" t="str">
        <f t="shared" si="10"/>
        <v>Rejeté</v>
      </c>
      <c r="F23" s="367" t="str">
        <f t="shared" si="10"/>
        <v>Rejeté</v>
      </c>
      <c r="G23" s="367" t="str">
        <f t="shared" si="10"/>
        <v>Rejeté</v>
      </c>
      <c r="H23" s="367" t="str">
        <f t="shared" si="10"/>
        <v>Rejeté</v>
      </c>
      <c r="I23" s="367" t="str">
        <f t="shared" si="10"/>
        <v>Rejeté</v>
      </c>
      <c r="J23" s="367" t="str">
        <f t="shared" si="10"/>
        <v>Rejeté</v>
      </c>
      <c r="K23" s="367" t="str">
        <f t="shared" si="10"/>
        <v>Rejeté</v>
      </c>
      <c r="L23" s="367" t="str">
        <f t="shared" si="10"/>
        <v>Rejeté</v>
      </c>
      <c r="M23" s="367" t="str">
        <f t="shared" si="10"/>
        <v>Rejeté</v>
      </c>
      <c r="N23" s="367" t="str">
        <f t="shared" si="10"/>
        <v>Rejeté</v>
      </c>
      <c r="O23" s="367" t="str">
        <f t="shared" si="10"/>
        <v>Rejeté</v>
      </c>
      <c r="P23" s="367" t="str">
        <f t="shared" si="10"/>
        <v>Rejeté</v>
      </c>
      <c r="Q23" s="367" t="str">
        <f t="shared" si="10"/>
        <v>Rejeté</v>
      </c>
      <c r="R23" s="367" t="str">
        <f t="shared" si="10"/>
        <v>Rejeté</v>
      </c>
      <c r="S23" s="367" t="str">
        <f t="shared" si="10"/>
        <v>Rejeté</v>
      </c>
      <c r="T23" s="367" t="str">
        <f t="shared" si="10"/>
        <v>Rejeté</v>
      </c>
      <c r="U23" s="367" t="str">
        <f t="shared" si="10"/>
        <v>Rejeté</v>
      </c>
    </row>
    <row r="24" spans="1:21" ht="12.75">
      <c r="A24" s="368" t="s">
        <v>309</v>
      </c>
      <c r="B24" s="379"/>
      <c r="C24" s="367" t="str">
        <f>IF(C7+C9+C11+C13+C15+C17+C19&gt;((C20)/2),"Adopté","Rejeté")</f>
        <v>Adopté</v>
      </c>
      <c r="D24" s="367" t="str">
        <f aca="true" t="shared" si="11" ref="D24:U24">IF(D7+D9+D11+D13+D15+D17+D19&gt;((D20)/2),"Adopté","Rejeté")</f>
        <v>Rejeté</v>
      </c>
      <c r="E24" s="367" t="str">
        <f t="shared" si="11"/>
        <v>Rejeté</v>
      </c>
      <c r="F24" s="367" t="str">
        <f t="shared" si="11"/>
        <v>Rejeté</v>
      </c>
      <c r="G24" s="367" t="str">
        <f t="shared" si="11"/>
        <v>Rejeté</v>
      </c>
      <c r="H24" s="367" t="str">
        <f t="shared" si="11"/>
        <v>Rejeté</v>
      </c>
      <c r="I24" s="367" t="str">
        <f t="shared" si="11"/>
        <v>Rejeté</v>
      </c>
      <c r="J24" s="367" t="str">
        <f t="shared" si="11"/>
        <v>Rejeté</v>
      </c>
      <c r="K24" s="367" t="str">
        <f t="shared" si="11"/>
        <v>Rejeté</v>
      </c>
      <c r="L24" s="367" t="str">
        <f t="shared" si="11"/>
        <v>Rejeté</v>
      </c>
      <c r="M24" s="367" t="str">
        <f t="shared" si="11"/>
        <v>Rejeté</v>
      </c>
      <c r="N24" s="367" t="str">
        <f t="shared" si="11"/>
        <v>Rejeté</v>
      </c>
      <c r="O24" s="367" t="str">
        <f t="shared" si="11"/>
        <v>Rejeté</v>
      </c>
      <c r="P24" s="367" t="str">
        <f t="shared" si="11"/>
        <v>Rejeté</v>
      </c>
      <c r="Q24" s="367" t="str">
        <f t="shared" si="11"/>
        <v>Rejeté</v>
      </c>
      <c r="R24" s="367" t="str">
        <f t="shared" si="11"/>
        <v>Rejeté</v>
      </c>
      <c r="S24" s="367" t="str">
        <f t="shared" si="11"/>
        <v>Rejeté</v>
      </c>
      <c r="T24" s="367" t="str">
        <f t="shared" si="11"/>
        <v>Rejeté</v>
      </c>
      <c r="U24" s="367" t="str">
        <f t="shared" si="11"/>
        <v>Rejeté</v>
      </c>
    </row>
    <row r="25" spans="1:21" ht="12.75">
      <c r="A25" s="368" t="s">
        <v>231</v>
      </c>
      <c r="B25" s="379"/>
      <c r="C25" s="367" t="str">
        <f>IF(B6+B8+B10+B12+B14+B16+B18&gt;((B6+B8+B10+B12+B14+B16+B18)/2),C27,"Rejeté")</f>
        <v>Adopté</v>
      </c>
      <c r="D25" s="367" t="str">
        <f>IF(B6+B8+B10+B12+B14+B16+B18&gt;((B6+B8+B10+B12+B14+B16+B18)/2),D27,"Rejeté")</f>
        <v>Rejeté</v>
      </c>
      <c r="E25" s="367" t="str">
        <f>IF(B6+B8+B10+B12+B14+B16+B18&gt;((B6+B8+B10+B12+B14+B16+B18)/2),E27,"Rejeté")</f>
        <v>Rejeté</v>
      </c>
      <c r="F25" s="367" t="str">
        <f>IF(B6+B8+B10+B12+B14+B16+B18&gt;((B6+B8+B10+B12+B14+B16+B18)/2),F27,"Rejeté")</f>
        <v>Rejeté</v>
      </c>
      <c r="G25" s="367" t="str">
        <f>IF(B6+B8+B10+B12+B14+B16+B18&gt;((B6+B8+B10+B12+B14+B16+B18)/2),G27,"Rejeté")</f>
        <v>Rejeté</v>
      </c>
      <c r="H25" s="367" t="str">
        <f>IF(B6+B8+B10+B12+B14+B16+B18&gt;((B6+B8+B10+B12+B14+B16+B18)/2),H27,"Rejeté")</f>
        <v>Rejeté</v>
      </c>
      <c r="I25" s="367" t="str">
        <f>IF(B6+B8+B10+B12+B14+B16+B18&gt;((B6+B8+B10+B12+B14+B16+B18)/2),I27,"Rejeté")</f>
        <v>Rejeté</v>
      </c>
      <c r="J25" s="367" t="str">
        <f>IF(B6+B8+B10+B12+B14+B16+B18&gt;((B6+B8+B10+B12+B14+B16+B18)/2),J27,"Rejeté")</f>
        <v>Rejeté</v>
      </c>
      <c r="K25" s="367" t="str">
        <f>IF(B6+B8+B10+B12+B14+B16+B18&gt;((B6+B8+B10+B12+B14+B16+B18)/2),K27,"Rejeté")</f>
        <v>Rejeté</v>
      </c>
      <c r="L25" s="367" t="str">
        <f>IF(B6+B8+B10+B12+B14+B16+B18&gt;((B6+B8+B10+B12+B14+B16+B18)/2),L27,"Rejeté")</f>
        <v>Rejeté</v>
      </c>
      <c r="M25" s="367" t="str">
        <f>IF(B6+B8+B10+B12+B14+B16+B18&gt;((B6+B8+B10+B12+B14+B16+B18)/2),M27,"Rejeté")</f>
        <v>Rejeté</v>
      </c>
      <c r="N25" s="367" t="str">
        <f>IF(B6+B8+B10+B12+B14+B16+B18&gt;((B6+B8+B10+B12+B14+B16+B18)/2),N27,"Rejeté")</f>
        <v>Rejeté</v>
      </c>
      <c r="O25" s="367" t="str">
        <f>IF(B6+B8+B10+B12+B14+B16+B18&gt;((B6+B8+B10+B12+B14+B16+B18)/2),O27,"Rejeté")</f>
        <v>Rejeté</v>
      </c>
      <c r="P25" s="367" t="str">
        <f>IF(B6+B8+B10+B12+B14+B16+B18&gt;((B6+B8+B10+B12+B14+B16+B18)/2),P27,"Rejeté")</f>
        <v>Rejeté</v>
      </c>
      <c r="Q25" s="367" t="str">
        <f>IF(B6+B8+B10+B12+B14+B16+B18&gt;((B6+B8+B10+B12+B14+B16+B18)/2),Q27,"Rejeté")</f>
        <v>Rejeté</v>
      </c>
      <c r="R25" s="367" t="str">
        <f>IF(B6+B8+B10+B12+B14+B16+B18&gt;((B6+B8+B10+B12+B14+B16+B18)/2),R27,"Rejeté")</f>
        <v>Rejeté</v>
      </c>
      <c r="S25" s="367" t="str">
        <f>IF(B6+B8+B10+B12+B14+B16+B18&gt;((B6+B8+B10+B12+B14+B16+B18)/2),S27,"Rejeté")</f>
        <v>Rejeté</v>
      </c>
      <c r="T25" s="367" t="str">
        <f>IF(B6+B8+B10+B12+B14+B16+B18&gt;((B6+B8+B10+B12+B14+B16+B18)/2),T27,"Rejeté")</f>
        <v>Rejeté</v>
      </c>
      <c r="U25" s="367" t="str">
        <f>IF(B6+B8+B10+B12+B14+B16+B18&gt;((B6+B8+B10+B12+B14+B16+B18)/2),U27,"Rejeté")</f>
        <v>Rejeté</v>
      </c>
    </row>
    <row r="26" spans="1:21" ht="12.75">
      <c r="A26" s="368" t="s">
        <v>313</v>
      </c>
      <c r="B26" s="379"/>
      <c r="C26" s="367" t="str">
        <f>IF(C7+C9+C11+C13+C15+C17+C19=C20,"Adopté","Rejeté")</f>
        <v>Rejeté</v>
      </c>
      <c r="D26" s="367" t="str">
        <f aca="true" t="shared" si="12" ref="D26:U26">IF(D7+D9+D11+D13+D15+D17+D19=D20,"Adopté","Rejeté")</f>
        <v>Rejeté</v>
      </c>
      <c r="E26" s="367" t="str">
        <f t="shared" si="12"/>
        <v>Rejeté</v>
      </c>
      <c r="F26" s="367" t="str">
        <f t="shared" si="12"/>
        <v>Rejeté</v>
      </c>
      <c r="G26" s="367" t="str">
        <f t="shared" si="12"/>
        <v>Rejeté</v>
      </c>
      <c r="H26" s="367" t="str">
        <f t="shared" si="12"/>
        <v>Rejeté</v>
      </c>
      <c r="I26" s="367" t="str">
        <f t="shared" si="12"/>
        <v>Rejeté</v>
      </c>
      <c r="J26" s="367" t="str">
        <f t="shared" si="12"/>
        <v>Rejeté</v>
      </c>
      <c r="K26" s="367" t="str">
        <f t="shared" si="12"/>
        <v>Rejeté</v>
      </c>
      <c r="L26" s="367" t="str">
        <f t="shared" si="12"/>
        <v>Rejeté</v>
      </c>
      <c r="M26" s="367" t="str">
        <f t="shared" si="12"/>
        <v>Rejeté</v>
      </c>
      <c r="N26" s="367" t="str">
        <f t="shared" si="12"/>
        <v>Rejeté</v>
      </c>
      <c r="O26" s="367" t="str">
        <f t="shared" si="12"/>
        <v>Rejeté</v>
      </c>
      <c r="P26" s="367" t="str">
        <f t="shared" si="12"/>
        <v>Rejeté</v>
      </c>
      <c r="Q26" s="367" t="str">
        <f t="shared" si="12"/>
        <v>Rejeté</v>
      </c>
      <c r="R26" s="367" t="str">
        <f t="shared" si="12"/>
        <v>Rejeté</v>
      </c>
      <c r="S26" s="367" t="str">
        <f t="shared" si="12"/>
        <v>Rejeté</v>
      </c>
      <c r="T26" s="367" t="str">
        <f t="shared" si="12"/>
        <v>Rejeté</v>
      </c>
      <c r="U26" s="367" t="str">
        <f t="shared" si="12"/>
        <v>Rejeté</v>
      </c>
    </row>
    <row r="27" spans="3:21" ht="12.75">
      <c r="C27" s="414" t="str">
        <f>IF(C7+C9+C11+C13+C15+C17+C19&gt;((C20/3)*2),"Adopté","Rejeté")</f>
        <v>Adopté</v>
      </c>
      <c r="D27" s="414" t="str">
        <f aca="true" t="shared" si="13" ref="D27:U27">IF(D7+D9+D11+D13+D15+D17+D19&gt;((D20/3)*2),"Adopté","Rejeté")</f>
        <v>Rejeté</v>
      </c>
      <c r="E27" s="414" t="str">
        <f t="shared" si="13"/>
        <v>Rejeté</v>
      </c>
      <c r="F27" s="414" t="str">
        <f t="shared" si="13"/>
        <v>Rejeté</v>
      </c>
      <c r="G27" s="414" t="str">
        <f t="shared" si="13"/>
        <v>Rejeté</v>
      </c>
      <c r="H27" s="414" t="str">
        <f t="shared" si="13"/>
        <v>Rejeté</v>
      </c>
      <c r="I27" s="414" t="str">
        <f t="shared" si="13"/>
        <v>Rejeté</v>
      </c>
      <c r="J27" s="414" t="str">
        <f t="shared" si="13"/>
        <v>Rejeté</v>
      </c>
      <c r="K27" s="414" t="str">
        <f t="shared" si="13"/>
        <v>Rejeté</v>
      </c>
      <c r="L27" s="414" t="str">
        <f t="shared" si="13"/>
        <v>Rejeté</v>
      </c>
      <c r="M27" s="414" t="str">
        <f t="shared" si="13"/>
        <v>Rejeté</v>
      </c>
      <c r="N27" s="414" t="str">
        <f t="shared" si="13"/>
        <v>Rejeté</v>
      </c>
      <c r="O27" s="414" t="str">
        <f t="shared" si="13"/>
        <v>Rejeté</v>
      </c>
      <c r="P27" s="414" t="str">
        <f t="shared" si="13"/>
        <v>Rejeté</v>
      </c>
      <c r="Q27" s="414" t="str">
        <f t="shared" si="13"/>
        <v>Rejeté</v>
      </c>
      <c r="R27" s="414" t="str">
        <f t="shared" si="13"/>
        <v>Rejeté</v>
      </c>
      <c r="S27" s="414" t="str">
        <f t="shared" si="13"/>
        <v>Rejeté</v>
      </c>
      <c r="T27" s="414" t="str">
        <f t="shared" si="13"/>
        <v>Rejeté</v>
      </c>
      <c r="U27" s="414" t="str">
        <f t="shared" si="13"/>
        <v>Rejeté</v>
      </c>
    </row>
    <row r="29" spans="1:2" ht="12.75">
      <c r="A29" s="156" t="s">
        <v>54</v>
      </c>
      <c r="B29" s="156" t="s">
        <v>344</v>
      </c>
    </row>
    <row r="30" spans="1:2" ht="12.75">
      <c r="A30" s="156" t="s">
        <v>312</v>
      </c>
      <c r="B30" s="156" t="s">
        <v>314</v>
      </c>
    </row>
    <row r="31" spans="1:2" ht="12.75">
      <c r="A31" s="156" t="s">
        <v>243</v>
      </c>
      <c r="B31" s="156" t="s">
        <v>165</v>
      </c>
    </row>
    <row r="32" spans="1:2" ht="12.75">
      <c r="A32" s="156" t="s">
        <v>313</v>
      </c>
      <c r="B32" s="156" t="s">
        <v>441</v>
      </c>
    </row>
    <row r="35" spans="1:21" ht="12.75">
      <c r="A35" s="414">
        <f>IF(B7="Oui",Copropriété!D6,0)</f>
        <v>143</v>
      </c>
      <c r="B35" s="414">
        <f>IF(B7="Oui",Copropriété!E6,0)</f>
        <v>143</v>
      </c>
      <c r="C35" s="415">
        <f>IF(C5="Générales",A35,B35)</f>
        <v>143</v>
      </c>
      <c r="D35" s="415">
        <f>IF(D5="Générales",A35,B35)</f>
        <v>143</v>
      </c>
      <c r="E35" s="415">
        <f>IF(E5="Générales",A35,B35)</f>
        <v>143</v>
      </c>
      <c r="F35" s="415">
        <f>IF(F5="Générales",A35,B35)</f>
        <v>143</v>
      </c>
      <c r="G35" s="415">
        <f>IF(G5="Générales",A35,B35)</f>
        <v>143</v>
      </c>
      <c r="H35" s="415">
        <f>IF(H5="Générales",A35,B35)</f>
        <v>143</v>
      </c>
      <c r="I35" s="415">
        <f>IF(I5="Générales",A35,B35)</f>
        <v>143</v>
      </c>
      <c r="J35" s="415">
        <f>IF(J5="Générales",A35,B35)</f>
        <v>143</v>
      </c>
      <c r="K35" s="415">
        <f>IF(K5="Générales",A35,B35)</f>
        <v>143</v>
      </c>
      <c r="L35" s="415">
        <f>IF(L5="Générales",A35,B35)</f>
        <v>143</v>
      </c>
      <c r="M35" s="415">
        <f>IF(M5="Générales",A35,B35)</f>
        <v>143</v>
      </c>
      <c r="N35" s="415">
        <f>IF(N5="Générales",A35,B35)</f>
        <v>143</v>
      </c>
      <c r="O35" s="415">
        <f>IF(O5="Générales",A35,B35)</f>
        <v>143</v>
      </c>
      <c r="P35" s="415">
        <f>IF(P5="Générales",A35,B35)</f>
        <v>143</v>
      </c>
      <c r="Q35" s="415">
        <f>IF(Q5="Générales",A35,B35)</f>
        <v>143</v>
      </c>
      <c r="R35" s="415">
        <f>IF(R5="Générales",A35,B35)</f>
        <v>143</v>
      </c>
      <c r="S35" s="415">
        <f>IF(S5="Générales",A35,B35)</f>
        <v>143</v>
      </c>
      <c r="T35" s="415">
        <f>IF(T5="Générales",A35,B35)</f>
        <v>143</v>
      </c>
      <c r="U35" s="415">
        <f>IF(U5="Générales",A35,B35)</f>
        <v>143</v>
      </c>
    </row>
    <row r="36" spans="1:21" ht="12.75">
      <c r="A36" s="414">
        <f>IF(B9="Oui",Copropriété!D11,0)</f>
        <v>162</v>
      </c>
      <c r="B36" s="414">
        <f>IF(B9="Oui",Copropriété!E11,0)</f>
        <v>162</v>
      </c>
      <c r="C36" s="415">
        <f>IF(C5="Générales",A36,B36)</f>
        <v>162</v>
      </c>
      <c r="D36" s="415">
        <f>IF(D5="Générales",A36,B36)</f>
        <v>162</v>
      </c>
      <c r="E36" s="415">
        <f>IF(E5="Générales",A36,B36)</f>
        <v>162</v>
      </c>
      <c r="F36" s="415">
        <f>IF(F5="Générales",A36,B36)</f>
        <v>162</v>
      </c>
      <c r="G36" s="415">
        <f>IF(G5="Générales",A36,B36)</f>
        <v>162</v>
      </c>
      <c r="H36" s="415">
        <f>IF(H5="Générales",A36,B36)</f>
        <v>162</v>
      </c>
      <c r="I36" s="415">
        <f>IF(I5="Générales",A36,B36)</f>
        <v>162</v>
      </c>
      <c r="J36" s="415">
        <f>IF(J5="Générales",A36,B36)</f>
        <v>162</v>
      </c>
      <c r="K36" s="415">
        <f>IF(K5="Générales",A36,B36)</f>
        <v>162</v>
      </c>
      <c r="L36" s="415">
        <f>IF(L5="Générales",A36,B36)</f>
        <v>162</v>
      </c>
      <c r="M36" s="415">
        <f>IF(M5="Générales",A36,B36)</f>
        <v>162</v>
      </c>
      <c r="N36" s="415">
        <f>IF(N5="Générales",A36,B36)</f>
        <v>162</v>
      </c>
      <c r="O36" s="415">
        <f>IF(O5="Générales",A36,B36)</f>
        <v>162</v>
      </c>
      <c r="P36" s="415">
        <f>IF(P5="Générales",A36,B36)</f>
        <v>162</v>
      </c>
      <c r="Q36" s="415">
        <f>IF(Q5="Générales",A36,B36)</f>
        <v>162</v>
      </c>
      <c r="R36" s="415">
        <f>IF(R5="Générales",A36,B36)</f>
        <v>162</v>
      </c>
      <c r="S36" s="415">
        <f>IF(S5="Générales",A36,B36)</f>
        <v>162</v>
      </c>
      <c r="T36" s="415">
        <f>IF(T5="Générales",A36,B36)</f>
        <v>162</v>
      </c>
      <c r="U36" s="415">
        <f>IF(U5="Générales",A36,B36)</f>
        <v>162</v>
      </c>
    </row>
    <row r="37" spans="1:21" ht="12.75">
      <c r="A37" s="414">
        <f>IF(B11="Oui",Copropriété!D16,0)</f>
        <v>0</v>
      </c>
      <c r="B37" s="414">
        <f>IF(B11="Oui",Copropriété!E16,0)</f>
        <v>0</v>
      </c>
      <c r="C37" s="415">
        <f>IF(C5="Générales",A37,B37)</f>
        <v>0</v>
      </c>
      <c r="D37" s="415">
        <f>IF(D5="Générales",A37,B37)</f>
        <v>0</v>
      </c>
      <c r="E37" s="415">
        <f>IF(E5="Générales",A37,B37)</f>
        <v>0</v>
      </c>
      <c r="F37" s="415">
        <f>IF(F5="Générales",A37,B37)</f>
        <v>0</v>
      </c>
      <c r="G37" s="415">
        <f>IF(G5="Générales",A37,B37)</f>
        <v>0</v>
      </c>
      <c r="H37" s="415">
        <f>IF(H5="Générales",A37,B37)</f>
        <v>0</v>
      </c>
      <c r="I37" s="415">
        <f>IF(I5="Générales",A37,B37)</f>
        <v>0</v>
      </c>
      <c r="J37" s="415">
        <f>IF(J5="Générales",A37,B37)</f>
        <v>0</v>
      </c>
      <c r="K37" s="415">
        <f>IF(K5="Générales",A37,B37)</f>
        <v>0</v>
      </c>
      <c r="L37" s="415">
        <f>IF(L5="Générales",A37,B37)</f>
        <v>0</v>
      </c>
      <c r="M37" s="415">
        <f>IF(M5="Générales",A37,B37)</f>
        <v>0</v>
      </c>
      <c r="N37" s="415">
        <f>IF(N5="Générales",A37,B37)</f>
        <v>0</v>
      </c>
      <c r="O37" s="415">
        <f>IF(O5="Générales",A37,B37)</f>
        <v>0</v>
      </c>
      <c r="P37" s="415">
        <f>IF(P5="Générales",A37,B37)</f>
        <v>0</v>
      </c>
      <c r="Q37" s="415">
        <f>IF(Q5="Générales",A37,B37)</f>
        <v>0</v>
      </c>
      <c r="R37" s="415">
        <f>IF(R5="Générales",A37,B37)</f>
        <v>0</v>
      </c>
      <c r="S37" s="415">
        <f>IF(S5="Générales",A37,B37)</f>
        <v>0</v>
      </c>
      <c r="T37" s="415">
        <f>IF(T5="Générales",A37,B37)</f>
        <v>0</v>
      </c>
      <c r="U37" s="415">
        <f>IF(U5="Générales",A37,B37)</f>
        <v>0</v>
      </c>
    </row>
    <row r="38" spans="1:21" ht="12.75">
      <c r="A38" s="414">
        <f>IF(B13="Oui",Copropriété!D21,0)</f>
        <v>181</v>
      </c>
      <c r="B38" s="414">
        <f>IF(B13="Oui",Copropriété!E21,0)</f>
        <v>181</v>
      </c>
      <c r="C38" s="415">
        <f>IF(C5="Générales",A38,B38)</f>
        <v>181</v>
      </c>
      <c r="D38" s="415">
        <f>IF(D5="Générales",A38,B38)</f>
        <v>181</v>
      </c>
      <c r="E38" s="415">
        <f>IF(E5="Générales",A38,B38)</f>
        <v>181</v>
      </c>
      <c r="F38" s="415">
        <f>IF(F5="Générales",A38,B38)</f>
        <v>181</v>
      </c>
      <c r="G38" s="415">
        <f>IF(G5="Générales",A38,B38)</f>
        <v>181</v>
      </c>
      <c r="H38" s="415">
        <f>IF(H5="Générales",A38,B38)</f>
        <v>181</v>
      </c>
      <c r="I38" s="415">
        <f>IF(I5="Générales",A38,B38)</f>
        <v>181</v>
      </c>
      <c r="J38" s="415">
        <f>IF(J5="Générales",A38,B38)</f>
        <v>181</v>
      </c>
      <c r="K38" s="415">
        <f>IF(K5="Générales",A38,B38)</f>
        <v>181</v>
      </c>
      <c r="L38" s="415">
        <f>IF(L5="Générales",A38,B38)</f>
        <v>181</v>
      </c>
      <c r="M38" s="415">
        <f>IF(M5="Générales",A38,B38)</f>
        <v>181</v>
      </c>
      <c r="N38" s="415">
        <f>IF(N5="Générales",A38,B38)</f>
        <v>181</v>
      </c>
      <c r="O38" s="415">
        <f>IF(O5="Générales",A38,B38)</f>
        <v>181</v>
      </c>
      <c r="P38" s="415">
        <f>IF(P5="Générales",A38,B38)</f>
        <v>181</v>
      </c>
      <c r="Q38" s="415">
        <f>IF(Q5="Générales",A38,B38)</f>
        <v>181</v>
      </c>
      <c r="R38" s="415">
        <f>IF(R5="Générales",A38,B38)</f>
        <v>181</v>
      </c>
      <c r="S38" s="415">
        <f>IF(S5="Générales",A38,B38)</f>
        <v>181</v>
      </c>
      <c r="T38" s="415">
        <f>IF(T5="Générales",A38,B38)</f>
        <v>181</v>
      </c>
      <c r="U38" s="415">
        <f>IF(U5="Générales",A38,B38)</f>
        <v>181</v>
      </c>
    </row>
    <row r="39" spans="1:21" ht="12.75">
      <c r="A39" s="414">
        <f>IF(B15="Oui",Copropriété!D26,0)</f>
        <v>0</v>
      </c>
      <c r="B39" s="414">
        <f>IF(B15="Oui",Copropriété!E26,0)</f>
        <v>0</v>
      </c>
      <c r="C39" s="415">
        <f>IF(C5="Générales",A39,B39)</f>
        <v>0</v>
      </c>
      <c r="D39" s="415">
        <f>IF(D5="Générales",A39,B39)</f>
        <v>0</v>
      </c>
      <c r="E39" s="415">
        <f>IF(E5="Générales",A39,B39)</f>
        <v>0</v>
      </c>
      <c r="F39" s="415">
        <f>IF(F5="Générales",A39,B39)</f>
        <v>0</v>
      </c>
      <c r="G39" s="415">
        <f>IF(G5="Générales",A39,B39)</f>
        <v>0</v>
      </c>
      <c r="H39" s="415">
        <f>IF(H5="Générales",A39,B39)</f>
        <v>0</v>
      </c>
      <c r="I39" s="415">
        <f>IF(I5="Générales",A39,B39)</f>
        <v>0</v>
      </c>
      <c r="J39" s="415">
        <f>IF(J5="Générales",A39,B39)</f>
        <v>0</v>
      </c>
      <c r="K39" s="415">
        <f>IF(K5="Générales",A39,B39)</f>
        <v>0</v>
      </c>
      <c r="L39" s="415">
        <f>IF(L5="Générales",A39,B39)</f>
        <v>0</v>
      </c>
      <c r="M39" s="415">
        <f>IF(M5="Générales",A39,B39)</f>
        <v>0</v>
      </c>
      <c r="N39" s="415">
        <f>IF(N5="Générales",A39,B39)</f>
        <v>0</v>
      </c>
      <c r="O39" s="415">
        <f>IF(O5="Générales",A39,B39)</f>
        <v>0</v>
      </c>
      <c r="P39" s="415">
        <f>IF(P5="Générales",A39,B39)</f>
        <v>0</v>
      </c>
      <c r="Q39" s="415">
        <f>IF(Q5="Générales",A39,B39)</f>
        <v>0</v>
      </c>
      <c r="R39" s="415">
        <f>IF(R5="Générales",A39,B39)</f>
        <v>0</v>
      </c>
      <c r="S39" s="415">
        <f>IF(S5="Générales",A39,B39)</f>
        <v>0</v>
      </c>
      <c r="T39" s="415">
        <f>IF(T5="Générales",A39,B39)</f>
        <v>0</v>
      </c>
      <c r="U39" s="415">
        <f>IF(U5="Générales",A39,B39)</f>
        <v>0</v>
      </c>
    </row>
    <row r="40" spans="1:21" ht="12.75">
      <c r="A40" s="414">
        <f>IF(B17="Oui",Copropriété!D31,0)</f>
        <v>182</v>
      </c>
      <c r="B40" s="414">
        <f>IF(B17="Oui",Copropriété!E31,0)</f>
        <v>182</v>
      </c>
      <c r="C40" s="415">
        <f>IF(C6="Générales",A40,B40)</f>
        <v>182</v>
      </c>
      <c r="D40" s="415">
        <f>IF(D6="Générales",A40,B40)</f>
        <v>182</v>
      </c>
      <c r="E40" s="415">
        <f>IF(E6="Générales",A40,B40)</f>
        <v>182</v>
      </c>
      <c r="F40" s="415">
        <f>IF(F6="Générales",A40,B40)</f>
        <v>182</v>
      </c>
      <c r="G40" s="415">
        <f>IF(G6="Générales",A40,B40)</f>
        <v>182</v>
      </c>
      <c r="H40" s="415">
        <f>IF(H6="Générales",A40,B40)</f>
        <v>182</v>
      </c>
      <c r="I40" s="415">
        <f>IF(I6="Générales",A40,B40)</f>
        <v>182</v>
      </c>
      <c r="J40" s="415">
        <f>IF(J6="Générales",A40,B40)</f>
        <v>182</v>
      </c>
      <c r="K40" s="415">
        <f>IF(K6="Générales",A40,B40)</f>
        <v>182</v>
      </c>
      <c r="L40" s="415">
        <f>IF(L6="Générales",A40,B40)</f>
        <v>182</v>
      </c>
      <c r="M40" s="415">
        <f>IF(M6="Générales",A40,B40)</f>
        <v>182</v>
      </c>
      <c r="N40" s="415">
        <f>IF(N6="Générales",A40,B40)</f>
        <v>182</v>
      </c>
      <c r="O40" s="415">
        <f>IF(O6="Générales",A40,B40)</f>
        <v>182</v>
      </c>
      <c r="P40" s="415">
        <f>IF(P6="Générales",A40,B40)</f>
        <v>182</v>
      </c>
      <c r="Q40" s="415">
        <f>IF(Q6="Générales",A40,B40)</f>
        <v>182</v>
      </c>
      <c r="R40" s="415">
        <f>IF(R6="Générales",A40,B40)</f>
        <v>182</v>
      </c>
      <c r="S40" s="415">
        <f>IF(S6="Générales",A40,B40)</f>
        <v>182</v>
      </c>
      <c r="T40" s="415">
        <f>IF(T6="Générales",A40,B40)</f>
        <v>182</v>
      </c>
      <c r="U40" s="415">
        <f>IF(U6="Générales",A40,B40)</f>
        <v>182</v>
      </c>
    </row>
    <row r="41" spans="1:21" ht="12.75">
      <c r="A41" s="414">
        <f>IF(B19="Oui",Copropriété!D36,0)</f>
        <v>0</v>
      </c>
      <c r="B41" s="414">
        <f>IF(B19="Oui",Copropriété!E36,0)</f>
        <v>0</v>
      </c>
      <c r="C41" s="415">
        <f>IF(C7="Générales",A41,B41)</f>
        <v>0</v>
      </c>
      <c r="D41" s="415">
        <f>IF(D7="Générales",A41,B41)</f>
        <v>0</v>
      </c>
      <c r="E41" s="415">
        <f>IF(E7="Générales",A41,B41)</f>
        <v>0</v>
      </c>
      <c r="F41" s="415">
        <f>IF(F7="Générales",A41,B41)</f>
        <v>0</v>
      </c>
      <c r="G41" s="415">
        <f>IF(G7="Générales",A41,B41)</f>
        <v>0</v>
      </c>
      <c r="H41" s="415">
        <f>IF(H7="Générales",A41,B41)</f>
        <v>0</v>
      </c>
      <c r="I41" s="415">
        <f>IF(I7="Générales",A41,B41)</f>
        <v>0</v>
      </c>
      <c r="J41" s="415">
        <f>IF(J7="Générales",A41,B41)</f>
        <v>0</v>
      </c>
      <c r="K41" s="415">
        <f>IF(K7="Générales",A41,B41)</f>
        <v>0</v>
      </c>
      <c r="L41" s="415">
        <f>IF(L7="Générales",A41,B41)</f>
        <v>0</v>
      </c>
      <c r="M41" s="415">
        <f>IF(M7="Générales",A41,B41)</f>
        <v>0</v>
      </c>
      <c r="N41" s="415">
        <f>IF(N7="Générales",A41,B41)</f>
        <v>0</v>
      </c>
      <c r="O41" s="415">
        <f>IF(O7="Générales",A41,B41)</f>
        <v>0</v>
      </c>
      <c r="P41" s="415">
        <f>IF(P7="Générales",A41,B41)</f>
        <v>0</v>
      </c>
      <c r="Q41" s="415">
        <f>IF(Q7="Générales",A41,B41)</f>
        <v>0</v>
      </c>
      <c r="R41" s="415">
        <f>IF(R7="Générales",A41,B41)</f>
        <v>0</v>
      </c>
      <c r="S41" s="415">
        <f>IF(S7="Générales",A41,B41)</f>
        <v>0</v>
      </c>
      <c r="T41" s="415">
        <f>IF(T7="Générales",A41,B41)</f>
        <v>0</v>
      </c>
      <c r="U41" s="415">
        <f>IF(U7="Générales",A41,B41)</f>
        <v>0</v>
      </c>
    </row>
    <row r="42" spans="1:21" ht="12.75">
      <c r="A42" s="414"/>
      <c r="B42" s="414"/>
      <c r="C42" s="414">
        <f aca="true" t="shared" si="14" ref="C42:U42">SUM(C35:C41)</f>
        <v>668</v>
      </c>
      <c r="D42" s="415">
        <f t="shared" si="14"/>
        <v>668</v>
      </c>
      <c r="E42" s="415">
        <f t="shared" si="14"/>
        <v>668</v>
      </c>
      <c r="F42" s="415">
        <f t="shared" si="14"/>
        <v>668</v>
      </c>
      <c r="G42" s="415">
        <f t="shared" si="14"/>
        <v>668</v>
      </c>
      <c r="H42" s="415">
        <f t="shared" si="14"/>
        <v>668</v>
      </c>
      <c r="I42" s="415">
        <f t="shared" si="14"/>
        <v>668</v>
      </c>
      <c r="J42" s="415">
        <f t="shared" si="14"/>
        <v>668</v>
      </c>
      <c r="K42" s="414">
        <f t="shared" si="14"/>
        <v>668</v>
      </c>
      <c r="L42" s="415">
        <f t="shared" si="14"/>
        <v>668</v>
      </c>
      <c r="M42" s="415">
        <f t="shared" si="14"/>
        <v>668</v>
      </c>
      <c r="N42" s="415">
        <f t="shared" si="14"/>
        <v>668</v>
      </c>
      <c r="O42" s="415">
        <f t="shared" si="14"/>
        <v>668</v>
      </c>
      <c r="P42" s="415">
        <f t="shared" si="14"/>
        <v>668</v>
      </c>
      <c r="Q42" s="415">
        <f t="shared" si="14"/>
        <v>668</v>
      </c>
      <c r="R42" s="415">
        <f t="shared" si="14"/>
        <v>668</v>
      </c>
      <c r="S42" s="415">
        <f t="shared" si="14"/>
        <v>668</v>
      </c>
      <c r="T42" s="415">
        <f t="shared" si="14"/>
        <v>668</v>
      </c>
      <c r="U42" s="415">
        <f t="shared" si="14"/>
        <v>668</v>
      </c>
    </row>
  </sheetData>
  <sheetProtection/>
  <dataValidations count="3">
    <dataValidation type="list" allowBlank="1" showInputMessage="1" showErrorMessage="1" sqref="C5:U5">
      <formula1>TypeCharge</formula1>
    </dataValidation>
    <dataValidation type="list" allowBlank="1" showInputMessage="1" showErrorMessage="1" sqref="C10:U10 C12:U12 C14:U14 C6:U6 C8:U8 C16:U16 C18:U18">
      <formula1>Vote</formula1>
    </dataValidation>
    <dataValidation type="list" allowBlank="1" showInputMessage="1" showErrorMessage="1" sqref="B9 B11 B13 B7 B15 B17 B19">
      <formula1>Présent</formula1>
    </dataValidation>
  </dataValidations>
  <printOptions/>
  <pageMargins left="0.5118110236220472" right="0.4330708661417323" top="0.984251968503937" bottom="0.984251968503937" header="0.5118110236220472" footer="0.5118110236220472"/>
  <pageSetup blackAndWhite="1" orientation="landscape" paperSize="9" r:id="rId1"/>
</worksheet>
</file>

<file path=xl/worksheets/sheet11.xml><?xml version="1.0" encoding="utf-8"?>
<worksheet xmlns="http://schemas.openxmlformats.org/spreadsheetml/2006/main" xmlns:r="http://schemas.openxmlformats.org/officeDocument/2006/relationships">
  <sheetPr>
    <tabColor rgb="FF00B0F0"/>
  </sheetPr>
  <dimension ref="A1:I12"/>
  <sheetViews>
    <sheetView zoomScalePageLayoutView="0" workbookViewId="0" topLeftCell="A1">
      <selection activeCell="C16" sqref="C16"/>
    </sheetView>
  </sheetViews>
  <sheetFormatPr defaultColWidth="11.421875" defaultRowHeight="12.75"/>
  <cols>
    <col min="1" max="3" width="11.421875" style="156" customWidth="1"/>
    <col min="4" max="4" width="11.7109375" style="156" bestFit="1" customWidth="1"/>
    <col min="5" max="16384" width="11.421875" style="156" customWidth="1"/>
  </cols>
  <sheetData>
    <row r="1" spans="1:9" ht="15.75">
      <c r="A1" s="224" t="s">
        <v>184</v>
      </c>
      <c r="B1" s="417"/>
      <c r="C1" s="417"/>
      <c r="D1" s="417"/>
      <c r="E1" s="417"/>
      <c r="F1" s="417"/>
      <c r="G1" s="417"/>
      <c r="H1" s="417"/>
      <c r="I1" s="417"/>
    </row>
    <row r="2" spans="1:9" ht="12.75">
      <c r="A2" s="417"/>
      <c r="B2" s="418" t="s">
        <v>87</v>
      </c>
      <c r="C2" s="418" t="s">
        <v>88</v>
      </c>
      <c r="D2" s="418" t="s">
        <v>90</v>
      </c>
      <c r="E2" s="418" t="s">
        <v>87</v>
      </c>
      <c r="F2" s="418" t="s">
        <v>89</v>
      </c>
      <c r="G2" s="418" t="s">
        <v>90</v>
      </c>
      <c r="H2" s="417"/>
      <c r="I2" s="418" t="s">
        <v>0</v>
      </c>
    </row>
    <row r="3" spans="1:9" ht="12.75">
      <c r="A3" s="417"/>
      <c r="B3" s="419">
        <v>39416</v>
      </c>
      <c r="C3" s="420">
        <v>0</v>
      </c>
      <c r="D3" s="374"/>
      <c r="E3" s="419">
        <f>C3</f>
        <v>0</v>
      </c>
      <c r="F3" s="420">
        <v>0</v>
      </c>
      <c r="G3" s="374">
        <v>0</v>
      </c>
      <c r="H3" s="417"/>
      <c r="I3" s="421" t="s">
        <v>13</v>
      </c>
    </row>
    <row r="4" spans="1:9" ht="12.75">
      <c r="A4" s="365" t="s">
        <v>52</v>
      </c>
      <c r="B4" s="365"/>
      <c r="C4" s="365"/>
      <c r="D4" s="422">
        <f>(D3-(D5+D6+D8))/3</f>
        <v>0</v>
      </c>
      <c r="E4" s="365"/>
      <c r="F4" s="365"/>
      <c r="G4" s="422">
        <f>(G3-(G5+G6+G8))/3</f>
        <v>0</v>
      </c>
      <c r="H4" s="417"/>
      <c r="I4" s="423">
        <f aca="true" t="shared" si="0" ref="I4:I11">(G4+D4)*10</f>
        <v>0</v>
      </c>
    </row>
    <row r="5" spans="1:9" ht="12.75">
      <c r="A5" s="365" t="s">
        <v>408</v>
      </c>
      <c r="B5" s="365">
        <v>0</v>
      </c>
      <c r="C5" s="369">
        <v>0</v>
      </c>
      <c r="D5" s="365">
        <f>C5-B5</f>
        <v>0</v>
      </c>
      <c r="E5" s="365">
        <f>C5</f>
        <v>0</v>
      </c>
      <c r="F5" s="369">
        <v>0</v>
      </c>
      <c r="G5" s="365">
        <f>IF(F5=0,0,F5-E5)</f>
        <v>0</v>
      </c>
      <c r="H5" s="417"/>
      <c r="I5" s="423">
        <f t="shared" si="0"/>
        <v>0</v>
      </c>
    </row>
    <row r="6" spans="1:9" ht="12.75">
      <c r="A6" s="365" t="s">
        <v>53</v>
      </c>
      <c r="B6" s="365">
        <v>0</v>
      </c>
      <c r="C6" s="369">
        <v>0</v>
      </c>
      <c r="D6" s="365">
        <f>C6-B6</f>
        <v>0</v>
      </c>
      <c r="E6" s="365">
        <f>C6</f>
        <v>0</v>
      </c>
      <c r="F6" s="369">
        <v>0</v>
      </c>
      <c r="G6" s="365">
        <f>IF(F6=0,0,F6-E6)</f>
        <v>0</v>
      </c>
      <c r="H6" s="417"/>
      <c r="I6" s="423">
        <f t="shared" si="0"/>
        <v>0</v>
      </c>
    </row>
    <row r="7" spans="1:9" ht="12.75">
      <c r="A7" s="365" t="s">
        <v>300</v>
      </c>
      <c r="B7" s="365">
        <v>0</v>
      </c>
      <c r="C7" s="365"/>
      <c r="D7" s="422">
        <f>(D3-(D5+D6+D8))/3*2</f>
        <v>0</v>
      </c>
      <c r="E7" s="365"/>
      <c r="F7" s="365"/>
      <c r="G7" s="422">
        <f>(G3-(G5+G6+G8))/3*2</f>
        <v>0</v>
      </c>
      <c r="H7" s="417"/>
      <c r="I7" s="423">
        <f t="shared" si="0"/>
        <v>0</v>
      </c>
    </row>
    <row r="8" spans="1:9" ht="12.75">
      <c r="A8" s="365" t="s">
        <v>209</v>
      </c>
      <c r="B8" s="365">
        <v>0</v>
      </c>
      <c r="C8" s="369">
        <v>0</v>
      </c>
      <c r="D8" s="365">
        <f>C8-B8</f>
        <v>0</v>
      </c>
      <c r="E8" s="365">
        <f>C8</f>
        <v>0</v>
      </c>
      <c r="F8" s="369">
        <v>0</v>
      </c>
      <c r="G8" s="365">
        <f>IF(F8=0,0,F8-E8)</f>
        <v>0</v>
      </c>
      <c r="H8" s="417"/>
      <c r="I8" s="423">
        <f t="shared" si="0"/>
        <v>0</v>
      </c>
    </row>
    <row r="9" spans="1:9" ht="12.75">
      <c r="A9" s="365" t="s">
        <v>469</v>
      </c>
      <c r="B9" s="365"/>
      <c r="C9" s="497"/>
      <c r="D9" s="497"/>
      <c r="E9" s="497"/>
      <c r="F9" s="497"/>
      <c r="G9" s="365"/>
      <c r="H9" s="417"/>
      <c r="I9" s="423">
        <f t="shared" si="0"/>
        <v>0</v>
      </c>
    </row>
    <row r="10" spans="1:9" ht="12.75">
      <c r="A10" s="365" t="s">
        <v>470</v>
      </c>
      <c r="B10" s="365"/>
      <c r="C10" s="497"/>
      <c r="D10" s="497"/>
      <c r="E10" s="497"/>
      <c r="F10" s="497"/>
      <c r="G10" s="365"/>
      <c r="H10" s="417"/>
      <c r="I10" s="423">
        <f t="shared" si="0"/>
        <v>0</v>
      </c>
    </row>
    <row r="11" spans="1:9" ht="12.75">
      <c r="A11" s="365" t="s">
        <v>43</v>
      </c>
      <c r="B11" s="365"/>
      <c r="C11" s="365"/>
      <c r="D11" s="365">
        <f>(D3-D5-D6)*0</f>
        <v>0</v>
      </c>
      <c r="E11" s="365"/>
      <c r="F11" s="365"/>
      <c r="G11" s="365">
        <f>(G3-G5-G6-G8)*0</f>
        <v>0</v>
      </c>
      <c r="H11" s="417"/>
      <c r="I11" s="423">
        <f t="shared" si="0"/>
        <v>0</v>
      </c>
    </row>
    <row r="12" spans="1:9" ht="12.75">
      <c r="A12" s="417"/>
      <c r="B12" s="424"/>
      <c r="C12" s="425"/>
      <c r="D12" s="426">
        <f>SUM(D4:D11)</f>
        <v>0</v>
      </c>
      <c r="E12" s="424"/>
      <c r="F12" s="425"/>
      <c r="G12" s="426">
        <f>SUM(G4:G11)</f>
        <v>0</v>
      </c>
      <c r="H12" s="417"/>
      <c r="I12" s="423">
        <f>IF(G12+D12=0,1000,(G12+D12)*10)</f>
        <v>1000</v>
      </c>
    </row>
  </sheetData>
  <sheetProtection/>
  <printOptions/>
  <pageMargins left="0.7480314960629921" right="0.7480314960629921" top="0.984251968503937" bottom="0.984251968503937" header="0.5118110236220472" footer="0.5118110236220472"/>
  <pageSetup blackAndWhite="1"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A1:A72"/>
  <sheetViews>
    <sheetView zoomScalePageLayoutView="0" workbookViewId="0" topLeftCell="A10">
      <selection activeCell="D18" sqref="D18"/>
    </sheetView>
  </sheetViews>
  <sheetFormatPr defaultColWidth="11.421875" defaultRowHeight="12.75"/>
  <cols>
    <col min="1" max="1" width="79.7109375" style="0" customWidth="1"/>
  </cols>
  <sheetData>
    <row r="1" ht="30">
      <c r="A1" s="340" t="s">
        <v>422</v>
      </c>
    </row>
    <row r="2" ht="15">
      <c r="A2" s="340"/>
    </row>
    <row r="3" ht="15.75">
      <c r="A3" s="341" t="s">
        <v>3</v>
      </c>
    </row>
    <row r="4" ht="30">
      <c r="A4" s="340" t="s">
        <v>363</v>
      </c>
    </row>
    <row r="5" ht="30">
      <c r="A5" s="340" t="s">
        <v>412</v>
      </c>
    </row>
    <row r="6" ht="45">
      <c r="A6" s="340" t="s">
        <v>45</v>
      </c>
    </row>
    <row r="7" ht="45">
      <c r="A7" s="340" t="s">
        <v>104</v>
      </c>
    </row>
    <row r="8" ht="45">
      <c r="A8" s="340" t="s">
        <v>339</v>
      </c>
    </row>
    <row r="9" ht="15">
      <c r="A9" s="340" t="s">
        <v>205</v>
      </c>
    </row>
    <row r="10" ht="15">
      <c r="A10" s="340"/>
    </row>
    <row r="11" ht="15">
      <c r="A11" s="343" t="s">
        <v>413</v>
      </c>
    </row>
    <row r="12" ht="30">
      <c r="A12" s="340" t="s">
        <v>255</v>
      </c>
    </row>
    <row r="13" ht="30">
      <c r="A13" s="340" t="s">
        <v>394</v>
      </c>
    </row>
    <row r="14" ht="30">
      <c r="A14" s="340" t="s">
        <v>432</v>
      </c>
    </row>
    <row r="15" ht="45">
      <c r="A15" s="340" t="s">
        <v>213</v>
      </c>
    </row>
    <row r="16" ht="30">
      <c r="A16" s="340" t="s">
        <v>409</v>
      </c>
    </row>
    <row r="17" ht="15">
      <c r="A17" s="340"/>
    </row>
    <row r="18" ht="15.75">
      <c r="A18" s="341" t="s">
        <v>79</v>
      </c>
    </row>
    <row r="19" ht="30">
      <c r="A19" s="340" t="s">
        <v>84</v>
      </c>
    </row>
    <row r="20" ht="30">
      <c r="A20" s="340" t="s">
        <v>440</v>
      </c>
    </row>
    <row r="21" ht="15">
      <c r="A21" s="340"/>
    </row>
    <row r="22" ht="15.75">
      <c r="A22" s="341" t="s">
        <v>293</v>
      </c>
    </row>
    <row r="23" ht="30">
      <c r="A23" s="340" t="s">
        <v>187</v>
      </c>
    </row>
    <row r="24" ht="15">
      <c r="A24" s="343" t="s">
        <v>188</v>
      </c>
    </row>
    <row r="25" ht="15">
      <c r="A25" s="340" t="s">
        <v>218</v>
      </c>
    </row>
    <row r="26" ht="15">
      <c r="A26" s="340" t="s">
        <v>62</v>
      </c>
    </row>
    <row r="27" ht="15">
      <c r="A27" s="340" t="s">
        <v>20</v>
      </c>
    </row>
    <row r="28" ht="30">
      <c r="A28" s="340" t="s">
        <v>272</v>
      </c>
    </row>
    <row r="29" ht="30">
      <c r="A29" s="340" t="s">
        <v>376</v>
      </c>
    </row>
    <row r="30" ht="15">
      <c r="A30" s="340" t="s">
        <v>143</v>
      </c>
    </row>
    <row r="31" ht="15">
      <c r="A31" s="340"/>
    </row>
    <row r="32" ht="15">
      <c r="A32" s="343" t="s">
        <v>144</v>
      </c>
    </row>
    <row r="33" ht="45">
      <c r="A33" s="340" t="s">
        <v>159</v>
      </c>
    </row>
    <row r="34" ht="15">
      <c r="A34" s="340"/>
    </row>
    <row r="35" ht="15">
      <c r="A35" s="340" t="s">
        <v>385</v>
      </c>
    </row>
    <row r="36" ht="45">
      <c r="A36" s="340" t="s">
        <v>365</v>
      </c>
    </row>
    <row r="37" ht="15">
      <c r="A37" s="340"/>
    </row>
    <row r="38" ht="15.75">
      <c r="A38" s="341" t="s">
        <v>368</v>
      </c>
    </row>
    <row r="39" ht="45">
      <c r="A39" s="340" t="s">
        <v>106</v>
      </c>
    </row>
    <row r="40" ht="15">
      <c r="A40" s="340"/>
    </row>
    <row r="41" ht="15.75">
      <c r="A41" s="341" t="s">
        <v>107</v>
      </c>
    </row>
    <row r="42" ht="30">
      <c r="A42" s="340" t="s">
        <v>297</v>
      </c>
    </row>
    <row r="43" ht="15">
      <c r="A43" s="340" t="s">
        <v>9</v>
      </c>
    </row>
    <row r="44" ht="15">
      <c r="A44" s="340"/>
    </row>
    <row r="45" ht="15.75">
      <c r="A45" s="341" t="s">
        <v>193</v>
      </c>
    </row>
    <row r="46" ht="30">
      <c r="A46" s="340" t="s">
        <v>129</v>
      </c>
    </row>
    <row r="47" ht="15">
      <c r="A47" s="340" t="s">
        <v>9</v>
      </c>
    </row>
    <row r="48" ht="15">
      <c r="A48" s="340"/>
    </row>
    <row r="49" ht="15.75">
      <c r="A49" s="341" t="s">
        <v>36</v>
      </c>
    </row>
    <row r="50" ht="15">
      <c r="A50" s="340" t="s">
        <v>37</v>
      </c>
    </row>
    <row r="51" ht="15">
      <c r="A51" s="343" t="s">
        <v>38</v>
      </c>
    </row>
    <row r="52" ht="15">
      <c r="A52" s="340" t="s">
        <v>158</v>
      </c>
    </row>
    <row r="53" ht="15">
      <c r="A53" s="343" t="s">
        <v>424</v>
      </c>
    </row>
    <row r="54" ht="15">
      <c r="A54" s="340" t="s">
        <v>425</v>
      </c>
    </row>
    <row r="55" ht="15">
      <c r="A55" s="340" t="s">
        <v>4</v>
      </c>
    </row>
    <row r="56" ht="15">
      <c r="A56" s="340" t="s">
        <v>83</v>
      </c>
    </row>
    <row r="57" ht="15">
      <c r="A57" s="343" t="s">
        <v>282</v>
      </c>
    </row>
    <row r="58" ht="15">
      <c r="A58" s="340" t="s">
        <v>425</v>
      </c>
    </row>
    <row r="59" ht="15">
      <c r="A59" s="340" t="s">
        <v>397</v>
      </c>
    </row>
    <row r="60" ht="15">
      <c r="A60" s="340" t="s">
        <v>27</v>
      </c>
    </row>
    <row r="61" ht="15">
      <c r="A61" s="343" t="s">
        <v>245</v>
      </c>
    </row>
    <row r="62" ht="15">
      <c r="A62" s="340" t="s">
        <v>425</v>
      </c>
    </row>
    <row r="63" ht="15">
      <c r="A63" s="340" t="s">
        <v>130</v>
      </c>
    </row>
    <row r="64" ht="30">
      <c r="A64" s="340" t="s">
        <v>195</v>
      </c>
    </row>
    <row r="65" ht="15">
      <c r="A65" s="343" t="s">
        <v>66</v>
      </c>
    </row>
    <row r="66" ht="15">
      <c r="A66" s="340" t="s">
        <v>162</v>
      </c>
    </row>
    <row r="67" ht="15">
      <c r="A67" s="340"/>
    </row>
    <row r="68" ht="15.75">
      <c r="A68" s="342" t="s">
        <v>452</v>
      </c>
    </row>
    <row r="69" ht="15">
      <c r="A69" s="340" t="s">
        <v>315</v>
      </c>
    </row>
    <row r="70" ht="15">
      <c r="A70" s="340" t="s">
        <v>220</v>
      </c>
    </row>
    <row r="71" ht="15">
      <c r="A71" s="340" t="s">
        <v>383</v>
      </c>
    </row>
    <row r="72" ht="15">
      <c r="A72" s="340" t="s">
        <v>387</v>
      </c>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W95"/>
  <sheetViews>
    <sheetView showGridLines="0" zoomScalePageLayoutView="0" workbookViewId="0" topLeftCell="A1">
      <selection activeCell="G6" sqref="G6"/>
    </sheetView>
  </sheetViews>
  <sheetFormatPr defaultColWidth="10.8515625" defaultRowHeight="12.75"/>
  <cols>
    <col min="1" max="1" width="3.7109375" style="11" customWidth="1"/>
    <col min="2" max="2" width="29.00390625" style="11" customWidth="1"/>
    <col min="3" max="3" width="10.8515625" style="11" customWidth="1"/>
    <col min="4" max="4" width="3.7109375" style="11" customWidth="1"/>
    <col min="5" max="5" width="12.7109375" style="354" customWidth="1"/>
    <col min="6" max="6" width="3.7109375" style="11" customWidth="1"/>
    <col min="7" max="7" width="39.8515625" style="11" customWidth="1"/>
    <col min="8" max="10" width="12.7109375" style="11" customWidth="1"/>
    <col min="11" max="11" width="40.140625" style="11" customWidth="1"/>
    <col min="12" max="23" width="9.8515625" style="11" hidden="1" customWidth="1"/>
    <col min="24" max="16384" width="10.8515625" style="11" customWidth="1"/>
  </cols>
  <sheetData>
    <row r="1" ht="18">
      <c r="C1" s="69">
        <f>Copropriété!J1</f>
        <v>0</v>
      </c>
    </row>
    <row r="2" ht="15.75">
      <c r="C2" s="12">
        <f>Copropriété!J2</f>
        <v>0</v>
      </c>
    </row>
    <row r="3" ht="15"/>
    <row r="4" ht="15"/>
    <row r="5" spans="3:8" ht="18">
      <c r="C5" s="69" t="s">
        <v>30</v>
      </c>
      <c r="H5" s="69" t="s">
        <v>258</v>
      </c>
    </row>
    <row r="6" spans="3:8" ht="18">
      <c r="C6" s="69" t="str">
        <f>Copropriété!A2</f>
        <v>Exercice 2015</v>
      </c>
      <c r="H6" s="69" t="str">
        <f>Copropriété!A2</f>
        <v>Exercice 2015</v>
      </c>
    </row>
    <row r="7" ht="15"/>
    <row r="8" spans="2:23" ht="15.75">
      <c r="B8" s="31" t="s">
        <v>367</v>
      </c>
      <c r="C8" s="14"/>
      <c r="D8" s="56"/>
      <c r="E8" s="355"/>
      <c r="G8" s="31" t="s">
        <v>367</v>
      </c>
      <c r="H8" s="147" t="s">
        <v>137</v>
      </c>
      <c r="I8" s="81" t="s">
        <v>136</v>
      </c>
      <c r="J8" s="81" t="s">
        <v>227</v>
      </c>
      <c r="K8" s="19" t="s">
        <v>134</v>
      </c>
      <c r="L8" s="130">
        <v>60</v>
      </c>
      <c r="M8" s="130">
        <v>61</v>
      </c>
      <c r="N8" s="130">
        <v>62</v>
      </c>
      <c r="O8" s="130">
        <v>63</v>
      </c>
      <c r="P8" s="130">
        <v>64</v>
      </c>
      <c r="Q8" s="131">
        <v>66</v>
      </c>
      <c r="R8" s="132">
        <v>661</v>
      </c>
      <c r="S8" s="132">
        <v>671</v>
      </c>
      <c r="T8" s="132">
        <v>672</v>
      </c>
      <c r="U8" s="132">
        <v>673</v>
      </c>
      <c r="V8" s="132">
        <v>677</v>
      </c>
      <c r="W8" s="132">
        <v>68</v>
      </c>
    </row>
    <row r="9" spans="2:23" ht="15">
      <c r="B9" s="196" t="s">
        <v>217</v>
      </c>
      <c r="C9" s="189"/>
      <c r="D9" s="190"/>
      <c r="E9" s="356">
        <v>0</v>
      </c>
      <c r="G9" s="76" t="s">
        <v>174</v>
      </c>
      <c r="H9" s="82">
        <f>IF(E9=0,"",E9)</f>
      </c>
      <c r="I9" s="71"/>
      <c r="J9" s="71"/>
      <c r="K9" s="344"/>
      <c r="L9" s="153">
        <f>IF(K9="60 Achat de matières et fournitures",H9,"")</f>
      </c>
      <c r="M9" s="154">
        <f>IF(K9="61 Services extérieurs",H9,"")</f>
      </c>
      <c r="N9" s="154">
        <f>IF(K9="62 Frais d'administration et honoraires",H9,"")</f>
      </c>
      <c r="O9" s="154">
        <f>IF(K9="63 Impôts - taxes et versements assimilés",H9,"")</f>
      </c>
      <c r="P9" s="154">
        <f>IF(K9="64 Frais de personnel",H9,"")</f>
      </c>
      <c r="Q9" s="155">
        <f>IF(K9="66 Charges financières des emprunts, agios",H9,"")</f>
      </c>
      <c r="R9" s="154">
        <f>IF(K9="661 Rembourcement d'annuités d'emprunt",H9,"")</f>
      </c>
      <c r="S9" s="153">
        <f>IF(K9="671 Travaux décidés par l'AG",H9,"")</f>
      </c>
      <c r="T9" s="153">
        <f>IF(K9="672 Travaux urgents",H9,"")</f>
      </c>
      <c r="U9" s="153">
        <f>IF(K9="673 Etudes techniques, diagnostic",H9,"")</f>
      </c>
      <c r="V9" s="153">
        <f>IF(K9="677 Pertes sur créances irrécouvrables",H9,"")</f>
      </c>
      <c r="W9" s="153">
        <f>IF(K9="68 Dotations aux dépréciations sur créances douteuses",H9,"")</f>
      </c>
    </row>
    <row r="10" spans="2:23" ht="15">
      <c r="B10" s="191" t="s">
        <v>433</v>
      </c>
      <c r="C10" s="192"/>
      <c r="D10" s="193"/>
      <c r="E10" s="357">
        <v>0</v>
      </c>
      <c r="G10" s="74" t="s">
        <v>433</v>
      </c>
      <c r="H10" s="83">
        <f>IF(E10=0,"",E10)</f>
      </c>
      <c r="I10" s="72"/>
      <c r="J10" s="72"/>
      <c r="K10" s="200"/>
      <c r="L10" s="153">
        <f>IF(K10="60 Achat de matières et fournitures",H10,"")</f>
      </c>
      <c r="M10" s="154">
        <f>IF(K10="61 Services extérieurs",H10,"")</f>
      </c>
      <c r="N10" s="154">
        <f>IF(K10="62 Frais d'administration et honoraires",H10,"")</f>
      </c>
      <c r="O10" s="154">
        <f>IF(K10="63 Impôts - taxes et versements assimilés",H10,"")</f>
      </c>
      <c r="P10" s="154">
        <f>IF(K10="64 Frais de personnel",H10,"")</f>
      </c>
      <c r="Q10" s="155">
        <f>IF(K10="66 Charges financières des emprunts, agios",H10,"")</f>
      </c>
      <c r="R10" s="154">
        <f>IF(K10="661 Rembourcement d'annuités d'emprunt",H10,"")</f>
      </c>
      <c r="S10" s="153">
        <f>IF(K10="671 Travaux décidés par l'AG",H10,"")</f>
      </c>
      <c r="T10" s="153">
        <f>IF(K10="672 Travaux urgents",H10,"")</f>
      </c>
      <c r="U10" s="153">
        <f>IF(K10="673 Etudes techniques, diagnostic",H10,"")</f>
      </c>
      <c r="V10" s="153">
        <f>IF(K10="677 Pertes sur créances irrécouvrables",H10,"")</f>
      </c>
      <c r="W10" s="153">
        <f>IF(K10="68 Dotations aux dépréciations sur créances douteuses",H10,"")</f>
      </c>
    </row>
    <row r="11" spans="2:23" ht="15">
      <c r="B11" s="191" t="s">
        <v>294</v>
      </c>
      <c r="C11" s="192"/>
      <c r="D11" s="193"/>
      <c r="E11" s="357">
        <v>0</v>
      </c>
      <c r="G11" s="74" t="s">
        <v>294</v>
      </c>
      <c r="H11" s="83">
        <f>IF(E11=0,"",E11)</f>
      </c>
      <c r="I11" s="72"/>
      <c r="J11" s="72"/>
      <c r="K11" s="200"/>
      <c r="L11" s="153">
        <f>IF(K11="60 Achat de matières et fournitures",H11,"")</f>
      </c>
      <c r="M11" s="154">
        <f>IF(K11="61 Services extérieurs",H11,"")</f>
      </c>
      <c r="N11" s="154">
        <f>IF(K11="62 Frais d'administration et honoraires",H11,"")</f>
      </c>
      <c r="O11" s="154">
        <f>IF(K11="63 Impôts - taxes et versements assimilés",H11,"")</f>
      </c>
      <c r="P11" s="154">
        <f>IF(K11="64 Frais de personnel",H11,"")</f>
      </c>
      <c r="Q11" s="155">
        <f>IF(K11="66 Charges financières des emprunts, agios",H11,"")</f>
      </c>
      <c r="R11" s="154">
        <f>IF(K11="661 Rembourcement d'annuités d'emprunt",H11,"")</f>
      </c>
      <c r="S11" s="153">
        <f>IF(K11="671 Travaux décidés par l'AG",H11,"")</f>
      </c>
      <c r="T11" s="153">
        <f>IF(K11="672 Travaux urgents",H11,"")</f>
      </c>
      <c r="U11" s="153">
        <f>IF(K11="673 Etudes techniques, diagnostic",H11,"")</f>
      </c>
      <c r="V11" s="153">
        <f>IF(K11="677 Pertes sur créances irrécouvrables",H11,"")</f>
      </c>
      <c r="W11" s="153">
        <f>IF(K11="68 Dotations aux dépréciations sur créances douteuses",H11,"")</f>
      </c>
    </row>
    <row r="12" spans="2:23" ht="15">
      <c r="B12" s="194"/>
      <c r="C12" s="195"/>
      <c r="D12" s="193"/>
      <c r="E12" s="357"/>
      <c r="G12" s="28"/>
      <c r="H12" s="84">
        <f>IF(E12=0,"",E12)</f>
      </c>
      <c r="I12" s="73"/>
      <c r="J12" s="72"/>
      <c r="K12" s="200"/>
      <c r="L12" s="153">
        <f>IF(K12="60 Achat de matières et fournitures",H12,"")</f>
      </c>
      <c r="M12" s="154">
        <f>IF(K12="61 Services extérieurs",H12,"")</f>
      </c>
      <c r="N12" s="154">
        <f>IF(K12="62 Frais d'administration et honoraires",H12,"")</f>
      </c>
      <c r="O12" s="154">
        <f>IF(K12="63 Impôts - taxes et versements assimilés",H12,"")</f>
      </c>
      <c r="P12" s="154">
        <f>IF(K12="64 Frais de personnel",H12,"")</f>
      </c>
      <c r="Q12" s="155">
        <f>IF(K12="66 Charges financières des emprunts, agios",H12,"")</f>
      </c>
      <c r="R12" s="154">
        <f>IF(K12="661 Rembourcement d'annuités d'emprunt",H12,"")</f>
      </c>
      <c r="S12" s="153">
        <f>IF(K12="671 Travaux décidés par l'AG",H12,"")</f>
      </c>
      <c r="T12" s="153">
        <f>IF(K12="672 Travaux urgents",H12,"")</f>
      </c>
      <c r="U12" s="153">
        <f>IF(K12="673 Etudes techniques, diagnostic",H12,"")</f>
      </c>
      <c r="V12" s="153">
        <f>IF(K12="677 Pertes sur créances irrécouvrables",H12,"")</f>
      </c>
      <c r="W12" s="153">
        <f>IF(K12="68 Dotations aux dépréciations sur créances douteuses",H12,"")</f>
      </c>
    </row>
    <row r="13" spans="2:23" ht="15.75">
      <c r="B13" s="31" t="s">
        <v>356</v>
      </c>
      <c r="C13" s="14"/>
      <c r="D13" s="17"/>
      <c r="E13" s="358">
        <f>SUM(E9:E12)</f>
        <v>0</v>
      </c>
      <c r="G13" s="31" t="s">
        <v>356</v>
      </c>
      <c r="H13" s="148">
        <f>SUM(H9:H12)</f>
        <v>0</v>
      </c>
      <c r="I13" s="86">
        <f>'Livre de compte'!K17+'Livre de compte'!K30+'Livre de compte'!K43+'Livre de compte'!K60+'Livre de compte'!K73+'Livre de compte'!K86+'Livre de compte'!K103+'Livre de compte'!K116+'Livre de compte'!K129+'Livre de compte'!K146+'Livre de compte'!K159+'Livre de compte'!K172</f>
        <v>0</v>
      </c>
      <c r="J13" s="85">
        <f>H13+I13</f>
        <v>0</v>
      </c>
      <c r="K13" s="150"/>
      <c r="L13" s="156"/>
      <c r="M13" s="156"/>
      <c r="N13" s="156"/>
      <c r="O13" s="156"/>
      <c r="P13" s="156"/>
      <c r="Q13" s="156"/>
      <c r="R13" s="156"/>
      <c r="S13" s="156"/>
      <c r="T13" s="156"/>
      <c r="U13" s="156"/>
      <c r="V13" s="156"/>
      <c r="W13" s="156"/>
    </row>
    <row r="14" spans="8:23" ht="9.75" customHeight="1">
      <c r="H14" s="70"/>
      <c r="I14" s="70"/>
      <c r="J14" s="70"/>
      <c r="K14" s="152"/>
      <c r="L14" s="156"/>
      <c r="M14" s="156"/>
      <c r="N14" s="156"/>
      <c r="O14" s="156"/>
      <c r="P14" s="156"/>
      <c r="Q14" s="156"/>
      <c r="R14" s="156"/>
      <c r="S14" s="156"/>
      <c r="T14" s="156"/>
      <c r="U14" s="156"/>
      <c r="V14" s="156"/>
      <c r="W14" s="156"/>
    </row>
    <row r="15" spans="2:23" ht="15.75">
      <c r="B15" s="31" t="s">
        <v>148</v>
      </c>
      <c r="C15" s="14"/>
      <c r="D15" s="14"/>
      <c r="E15" s="359"/>
      <c r="G15" s="31" t="s">
        <v>148</v>
      </c>
      <c r="H15" s="71"/>
      <c r="I15" s="71"/>
      <c r="J15" s="149" t="s">
        <v>446</v>
      </c>
      <c r="K15" s="151"/>
      <c r="L15" s="156"/>
      <c r="M15" s="156"/>
      <c r="N15" s="156"/>
      <c r="O15" s="156"/>
      <c r="P15" s="156"/>
      <c r="Q15" s="156"/>
      <c r="R15" s="156"/>
      <c r="S15" s="156"/>
      <c r="T15" s="156"/>
      <c r="U15" s="156"/>
      <c r="V15" s="156"/>
      <c r="W15" s="156"/>
    </row>
    <row r="16" spans="2:23" ht="15">
      <c r="B16" s="196" t="s">
        <v>175</v>
      </c>
      <c r="C16" s="177"/>
      <c r="D16" s="190"/>
      <c r="E16" s="356">
        <v>0</v>
      </c>
      <c r="G16" s="75" t="s">
        <v>175</v>
      </c>
      <c r="H16" s="82">
        <f>IF(E16=0,"",E16)</f>
      </c>
      <c r="I16" s="71"/>
      <c r="J16" s="71"/>
      <c r="K16" s="200"/>
      <c r="L16" s="153">
        <f>IF(K16="60 Achat de matières et fournitures",H16,"")</f>
      </c>
      <c r="M16" s="154">
        <f>IF(K16="61 Services extérieurs",H16,"")</f>
      </c>
      <c r="N16" s="154">
        <f>IF(K16="62 Frais d'administration et honoraires",H16,"")</f>
      </c>
      <c r="O16" s="154">
        <f>IF(K16="63 Impôts - taxes et versements assimilés",H16,"")</f>
      </c>
      <c r="P16" s="154">
        <f>IF(K16="64 Frais de personnel",H16,"")</f>
      </c>
      <c r="Q16" s="155">
        <f>IF(K16="66 Charges financières des emprunts, agios",H16,"")</f>
      </c>
      <c r="R16" s="154">
        <f>IF(K16="661 Rembourcement d'annuités d'emprunt",H16,"")</f>
      </c>
      <c r="S16" s="153">
        <f>IF(K16="671 Travaux décidés par l'AG",H16,"")</f>
      </c>
      <c r="T16" s="153">
        <f>IF(K16="672 Travaux urgents",H16,"")</f>
      </c>
      <c r="U16" s="153">
        <f>IF(K16="673 Etudes techniques, diagnostic",H16,"")</f>
      </c>
      <c r="V16" s="153">
        <f>IF(K16="677 Pertes sur créances irrécouvrables",H16,"")</f>
      </c>
      <c r="W16" s="153">
        <f>IF(K16="68 Dotations aux dépréciations sur créances douteuses",H16,"")</f>
      </c>
    </row>
    <row r="17" spans="2:23" ht="15">
      <c r="B17" s="191" t="s">
        <v>176</v>
      </c>
      <c r="C17" s="178"/>
      <c r="D17" s="193"/>
      <c r="E17" s="357">
        <v>0</v>
      </c>
      <c r="G17" s="74" t="s">
        <v>176</v>
      </c>
      <c r="H17" s="83">
        <f>IF(E17=0,"",E17)</f>
      </c>
      <c r="I17" s="72"/>
      <c r="J17" s="72"/>
      <c r="K17" s="200"/>
      <c r="L17" s="153">
        <f>IF(K17="60 Achat de matières et fournitures",H17,"")</f>
      </c>
      <c r="M17" s="154">
        <f>IF(K17="61 Services extérieurs",H17,"")</f>
      </c>
      <c r="N17" s="154">
        <f>IF(K17="62 Frais d'administration et honoraires",H17,"")</f>
      </c>
      <c r="O17" s="154">
        <f>IF(K17="63 Impôts - taxes et versements assimilés",H17,"")</f>
      </c>
      <c r="P17" s="154">
        <f>IF(K17="64 Frais de personnel",H17,"")</f>
      </c>
      <c r="Q17" s="155">
        <f>IF(K17="66 Charges financières des emprunts, agios",H17,"")</f>
      </c>
      <c r="R17" s="154">
        <f>IF(K17="661 Rembourcement d'annuités d'emprunt",H17,"")</f>
      </c>
      <c r="S17" s="153">
        <f>IF(K17="671 Travaux décidés par l'AG",H17,"")</f>
      </c>
      <c r="T17" s="153">
        <f>IF(K17="672 Travaux urgents",H17,"")</f>
      </c>
      <c r="U17" s="153">
        <f>IF(K17="673 Etudes techniques, diagnostic",H17,"")</f>
      </c>
      <c r="V17" s="153">
        <f>IF(K17="677 Pertes sur créances irrécouvrables",H17,"")</f>
      </c>
      <c r="W17" s="153">
        <f>IF(K17="68 Dotations aux dépréciations sur créances douteuses",H17,"")</f>
      </c>
    </row>
    <row r="18" spans="2:23" ht="15">
      <c r="B18" s="191" t="s">
        <v>429</v>
      </c>
      <c r="C18" s="178"/>
      <c r="D18" s="193"/>
      <c r="E18" s="357">
        <v>0</v>
      </c>
      <c r="G18" s="74" t="s">
        <v>429</v>
      </c>
      <c r="H18" s="83">
        <f>IF(E18=0,"",E18)</f>
      </c>
      <c r="I18" s="72"/>
      <c r="J18" s="72"/>
      <c r="K18" s="200"/>
      <c r="L18" s="153">
        <f>IF(K18="60 Achat de matières et fournitures",H18,"")</f>
      </c>
      <c r="M18" s="154">
        <f>IF(K18="61 Services extérieurs",H18,"")</f>
      </c>
      <c r="N18" s="154">
        <f>IF(K18="62 Frais d'administration et honoraires",H18,"")</f>
      </c>
      <c r="O18" s="154">
        <f>IF(K18="63 Impôts - taxes et versements assimilés",H18,"")</f>
      </c>
      <c r="P18" s="154">
        <f>IF(K18="64 Frais de personnel",H18,"")</f>
      </c>
      <c r="Q18" s="155">
        <f>IF(K18="66 Charges financières des emprunts, agios",H18,"")</f>
      </c>
      <c r="R18" s="154">
        <f>IF(K18="661 Rembourcement d'annuités d'emprunt",H18,"")</f>
      </c>
      <c r="S18" s="153">
        <f>IF(K18="671 Travaux décidés par l'AG",H18,"")</f>
      </c>
      <c r="T18" s="153">
        <f>IF(K18="672 Travaux urgents",H18,"")</f>
      </c>
      <c r="U18" s="153">
        <f>IF(K18="673 Etudes techniques, diagnostic",H18,"")</f>
      </c>
      <c r="V18" s="153">
        <f>IF(K18="677 Pertes sur créances irrécouvrables",H18,"")</f>
      </c>
      <c r="W18" s="153">
        <f>IF(K18="68 Dotations aux dépréciations sur créances douteuses",H18,"")</f>
      </c>
    </row>
    <row r="19" spans="2:23" ht="15">
      <c r="B19" s="194"/>
      <c r="C19" s="197"/>
      <c r="D19" s="194"/>
      <c r="E19" s="360"/>
      <c r="G19" s="28"/>
      <c r="H19" s="84">
        <f>IF(E19=0,"",E19)</f>
      </c>
      <c r="I19" s="73"/>
      <c r="J19" s="73"/>
      <c r="K19" s="200"/>
      <c r="L19" s="153">
        <f>IF(K19="60 Achat de matières et fournitures",H19,"")</f>
      </c>
      <c r="M19" s="154">
        <f>IF(K19="61 Services extérieurs",H19,"")</f>
      </c>
      <c r="N19" s="154">
        <f>IF(K19="62 Frais d'administration et honoraires",H19,"")</f>
      </c>
      <c r="O19" s="154">
        <f>IF(K19="63 Impôts - taxes et versements assimilés",H19,"")</f>
      </c>
      <c r="P19" s="154">
        <f>IF(K19="64 Frais de personnel",H19,"")</f>
      </c>
      <c r="Q19" s="155">
        <f>IF(K19="66 Charges financières des emprunts, agios",H19,"")</f>
      </c>
      <c r="R19" s="154">
        <f>IF(K19="661 Rembourcement d'annuités d'emprunt",H19,"")</f>
      </c>
      <c r="S19" s="153">
        <f>IF(K19="671 Travaux décidés par l'AG",H19,"")</f>
      </c>
      <c r="T19" s="153">
        <f>IF(K19="672 Travaux urgents",H19,"")</f>
      </c>
      <c r="U19" s="153">
        <f>IF(K19="673 Etudes techniques, diagnostic",H19,"")</f>
      </c>
      <c r="V19" s="153">
        <f>IF(K19="677 Pertes sur créances irrécouvrables",H19,"")</f>
      </c>
      <c r="W19" s="153">
        <f>IF(K19="68 Dotations aux dépréciations sur créances douteuses",H19,"")</f>
      </c>
    </row>
    <row r="20" spans="2:23" ht="15.75">
      <c r="B20" s="31" t="s">
        <v>8</v>
      </c>
      <c r="C20" s="16"/>
      <c r="D20" s="17"/>
      <c r="E20" s="358">
        <f>SUM(E16:E19)</f>
        <v>0</v>
      </c>
      <c r="G20" s="31" t="s">
        <v>8</v>
      </c>
      <c r="H20" s="88">
        <f>SUM(H16:H19)</f>
        <v>0</v>
      </c>
      <c r="I20" s="86">
        <f>'Livre de compte'!L17+'Livre de compte'!L30+'Livre de compte'!L43+'Livre de compte'!L60+'Livre de compte'!L73+'Livre de compte'!L86+'Livre de compte'!L103+'Livre de compte'!L116+'Livre de compte'!L129+'Livre de compte'!L146+'Livre de compte'!L159+'Livre de compte'!L172</f>
        <v>0</v>
      </c>
      <c r="J20" s="85">
        <f>H20+I20</f>
        <v>0</v>
      </c>
      <c r="K20" s="87"/>
      <c r="L20" s="156"/>
      <c r="M20" s="156"/>
      <c r="N20" s="156"/>
      <c r="O20" s="156"/>
      <c r="P20" s="156"/>
      <c r="Q20" s="156"/>
      <c r="R20" s="156"/>
      <c r="S20" s="156"/>
      <c r="T20" s="156"/>
      <c r="U20" s="156"/>
      <c r="V20" s="156"/>
      <c r="W20" s="156"/>
    </row>
    <row r="21" spans="2:23" ht="9.75" customHeight="1">
      <c r="B21" s="77"/>
      <c r="C21" s="55"/>
      <c r="D21" s="55"/>
      <c r="E21" s="361"/>
      <c r="G21" s="77"/>
      <c r="H21" s="78"/>
      <c r="I21" s="78"/>
      <c r="J21" s="78"/>
      <c r="L21" s="156"/>
      <c r="M21" s="156"/>
      <c r="N21" s="156"/>
      <c r="O21" s="156"/>
      <c r="P21" s="156"/>
      <c r="Q21" s="156"/>
      <c r="R21" s="156"/>
      <c r="S21" s="156"/>
      <c r="T21" s="156"/>
      <c r="U21" s="156"/>
      <c r="V21" s="156"/>
      <c r="W21" s="156"/>
    </row>
    <row r="22" spans="2:23" ht="15.75">
      <c r="B22" s="31" t="s">
        <v>434</v>
      </c>
      <c r="C22" s="14"/>
      <c r="D22" s="14"/>
      <c r="E22" s="359"/>
      <c r="G22" s="31" t="s">
        <v>434</v>
      </c>
      <c r="H22" s="71"/>
      <c r="I22" s="71"/>
      <c r="J22" s="149" t="s">
        <v>446</v>
      </c>
      <c r="K22" s="87"/>
      <c r="L22" s="156"/>
      <c r="M22" s="156"/>
      <c r="N22" s="156"/>
      <c r="O22" s="156"/>
      <c r="P22" s="156"/>
      <c r="Q22" s="156"/>
      <c r="R22" s="156"/>
      <c r="S22" s="156"/>
      <c r="T22" s="156"/>
      <c r="U22" s="156"/>
      <c r="V22" s="156"/>
      <c r="W22" s="156"/>
    </row>
    <row r="23" spans="2:23" ht="15">
      <c r="B23" s="196" t="s">
        <v>105</v>
      </c>
      <c r="C23" s="177"/>
      <c r="D23" s="190"/>
      <c r="E23" s="356">
        <v>0</v>
      </c>
      <c r="G23" s="75" t="s">
        <v>105</v>
      </c>
      <c r="H23" s="82">
        <f>IF(E23=0,"",E23)</f>
      </c>
      <c r="I23" s="71"/>
      <c r="J23" s="71"/>
      <c r="K23" s="200"/>
      <c r="L23" s="153">
        <f>IF(K23="60 Achat de matières et fournitures",H23,"")</f>
      </c>
      <c r="M23" s="154">
        <f>IF(K23="61 Services extérieurs",H23,"")</f>
      </c>
      <c r="N23" s="154">
        <f>IF(K23="62 Frais d'administration et honoraires",H23,"")</f>
      </c>
      <c r="O23" s="154">
        <f>IF(K23="63 Impôts - taxes et versements assimilés",H23,"")</f>
      </c>
      <c r="P23" s="154">
        <f>IF(K23="64 Frais de personnel",H23,"")</f>
      </c>
      <c r="Q23" s="155">
        <f>IF(K23="66 Charges financières des emprunts, agios",H23,"")</f>
      </c>
      <c r="R23" s="154">
        <f>IF(K23="661 Rembourcement d'annuités d'emprunt",H23,"")</f>
      </c>
      <c r="S23" s="153">
        <f>IF(K23="671 Travaux décidés par l'AG",H23,"")</f>
      </c>
      <c r="T23" s="153">
        <f>IF(K23="672 Travaux urgents",H23,"")</f>
      </c>
      <c r="U23" s="153">
        <f>IF(K23="673 Etudes techniques, diagnostic",H23,"")</f>
      </c>
      <c r="V23" s="153">
        <f>IF(K23="677 Pertes sur créances irrécouvrables",H23,"")</f>
      </c>
      <c r="W23" s="153">
        <f>IF(K23="68 Dotations aux dépréciations sur créances douteuses",H23,"")</f>
      </c>
    </row>
    <row r="24" spans="2:23" ht="15">
      <c r="B24" s="198" t="s">
        <v>186</v>
      </c>
      <c r="C24" s="197"/>
      <c r="D24" s="194"/>
      <c r="E24" s="360">
        <v>0</v>
      </c>
      <c r="G24" s="80" t="s">
        <v>186</v>
      </c>
      <c r="H24" s="84">
        <f>IF(E24=0,"",E24)</f>
      </c>
      <c r="I24" s="73"/>
      <c r="J24" s="73"/>
      <c r="K24" s="200"/>
      <c r="L24" s="153">
        <f>IF(K24="60 Achat de matières et fournitures",H24,"")</f>
      </c>
      <c r="M24" s="154">
        <f>IF(K24="61 Services extérieurs",H24,"")</f>
      </c>
      <c r="N24" s="154">
        <f>IF(K24="62 Frais d'administration et honoraires",H24,"")</f>
      </c>
      <c r="O24" s="154">
        <f>IF(K24="63 Impôts - taxes et versements assimilés",H24,"")</f>
      </c>
      <c r="P24" s="154">
        <f>IF(K24="64 Frais de personnel",H24,"")</f>
      </c>
      <c r="Q24" s="155">
        <f>IF(K24="66 Charges financières des emprunts, agios",H24,"")</f>
      </c>
      <c r="R24" s="154">
        <f>IF(K24="661 Rembourcement d'annuités d'emprunt",H24,"")</f>
      </c>
      <c r="S24" s="153">
        <f>IF(K24="671 Travaux décidés par l'AG",H24,"")</f>
      </c>
      <c r="T24" s="153">
        <f>IF(K24="672 Travaux urgents",H24,"")</f>
      </c>
      <c r="U24" s="153">
        <f>IF(K24="673 Etudes techniques, diagnostic",H24,"")</f>
      </c>
      <c r="V24" s="153">
        <f>IF(K24="677 Pertes sur créances irrécouvrables",H24,"")</f>
      </c>
      <c r="W24" s="153">
        <f>IF(K24="68 Dotations aux dépréciations sur créances douteuses",H24,"")</f>
      </c>
    </row>
    <row r="25" spans="2:23" ht="15.75">
      <c r="B25" s="31" t="s">
        <v>364</v>
      </c>
      <c r="C25" s="16"/>
      <c r="D25" s="17"/>
      <c r="E25" s="358">
        <f>SUM(E23:E24)</f>
        <v>0</v>
      </c>
      <c r="G25" s="31" t="s">
        <v>364</v>
      </c>
      <c r="H25" s="88">
        <f>SUM(H23:H24)</f>
        <v>0</v>
      </c>
      <c r="I25" s="86">
        <f>'Livre de compte'!M17+'Livre de compte'!M30+'Livre de compte'!M43+'Livre de compte'!M60+'Livre de compte'!M73+'Livre de compte'!M86+'Livre de compte'!M103+'Livre de compte'!M116+'Livre de compte'!M129+'Livre de compte'!M146+'Livre de compte'!M159+'Livre de compte'!M172</f>
        <v>0</v>
      </c>
      <c r="J25" s="85">
        <f>H25+I25</f>
        <v>0</v>
      </c>
      <c r="K25" s="87"/>
      <c r="L25" s="156"/>
      <c r="M25" s="156"/>
      <c r="N25" s="156"/>
      <c r="O25" s="156"/>
      <c r="P25" s="156"/>
      <c r="Q25" s="156"/>
      <c r="R25" s="156"/>
      <c r="S25" s="156"/>
      <c r="T25" s="156"/>
      <c r="U25" s="156"/>
      <c r="V25" s="156"/>
      <c r="W25" s="156"/>
    </row>
    <row r="26" spans="8:23" ht="9.75" customHeight="1">
      <c r="H26" s="70"/>
      <c r="I26" s="70"/>
      <c r="J26" s="70"/>
      <c r="L26" s="156"/>
      <c r="M26" s="156"/>
      <c r="N26" s="156"/>
      <c r="O26" s="156"/>
      <c r="P26" s="156"/>
      <c r="Q26" s="156"/>
      <c r="R26" s="156"/>
      <c r="S26" s="156"/>
      <c r="T26" s="156"/>
      <c r="U26" s="156"/>
      <c r="V26" s="156"/>
      <c r="W26" s="156"/>
    </row>
    <row r="27" spans="2:23" ht="15.75">
      <c r="B27" s="31" t="s">
        <v>74</v>
      </c>
      <c r="C27" s="14"/>
      <c r="D27" s="14"/>
      <c r="E27" s="359"/>
      <c r="G27" s="31" t="s">
        <v>74</v>
      </c>
      <c r="H27" s="71"/>
      <c r="I27" s="71"/>
      <c r="J27" s="149" t="s">
        <v>446</v>
      </c>
      <c r="K27" s="87"/>
      <c r="L27" s="156"/>
      <c r="M27" s="156"/>
      <c r="N27" s="156"/>
      <c r="O27" s="156"/>
      <c r="P27" s="156"/>
      <c r="Q27" s="156"/>
      <c r="R27" s="156"/>
      <c r="S27" s="156"/>
      <c r="T27" s="156"/>
      <c r="U27" s="156"/>
      <c r="V27" s="156"/>
      <c r="W27" s="156"/>
    </row>
    <row r="28" spans="2:23" ht="15">
      <c r="B28" s="196" t="s">
        <v>7</v>
      </c>
      <c r="C28" s="177"/>
      <c r="D28" s="190"/>
      <c r="E28" s="356">
        <v>0</v>
      </c>
      <c r="G28" s="75" t="s">
        <v>7</v>
      </c>
      <c r="H28" s="82">
        <f>IF(E28=0,"",E28)</f>
      </c>
      <c r="I28" s="71"/>
      <c r="J28" s="71"/>
      <c r="K28" s="200"/>
      <c r="L28" s="153">
        <f>IF(K28="60 Achat de matières et fournitures",H28,"")</f>
      </c>
      <c r="M28" s="154">
        <f>IF(K28="61 Services extérieurs",H28,"")</f>
      </c>
      <c r="N28" s="154">
        <f>IF(K28="62 Frais d'administration et honoraires",H28,"")</f>
      </c>
      <c r="O28" s="154">
        <f>IF(K28="63 Impôts - taxes et versements assimilés",H28,"")</f>
      </c>
      <c r="P28" s="154">
        <f>IF(K28="64 Frais de personnel",H28,"")</f>
      </c>
      <c r="Q28" s="155">
        <f>IF(K28="66 Charges financières des emprunts, agios",H28,"")</f>
      </c>
      <c r="R28" s="154">
        <f>IF(K28="661 Rembourcement d'annuités d'emprunt",H28,"")</f>
      </c>
      <c r="S28" s="153">
        <f>IF(K28="671 Travaux décidés par l'AG",H28,"")</f>
      </c>
      <c r="T28" s="153">
        <f>IF(K28="672 Travaux urgents",H28,"")</f>
      </c>
      <c r="U28" s="153">
        <f>IF(K28="673 Etudes techniques, diagnostic",H28,"")</f>
      </c>
      <c r="V28" s="153">
        <f>IF(K28="677 Pertes sur créances irrécouvrables",H28,"")</f>
      </c>
      <c r="W28" s="153">
        <f>IF(K28="68 Dotations aux dépréciations sur créances douteuses",H28,"")</f>
      </c>
    </row>
    <row r="29" spans="2:23" ht="15">
      <c r="B29" s="199"/>
      <c r="C29" s="197"/>
      <c r="D29" s="194"/>
      <c r="E29" s="360">
        <v>0</v>
      </c>
      <c r="G29" s="79"/>
      <c r="H29" s="84">
        <f>IF(E29=0,"",E29)</f>
      </c>
      <c r="I29" s="73"/>
      <c r="J29" s="73"/>
      <c r="K29" s="200"/>
      <c r="L29" s="153">
        <f>IF(K29="60 Achat de matières et fournitures",H29,"")</f>
      </c>
      <c r="M29" s="154">
        <f>IF(K29="61 Services extérieurs",H29,"")</f>
      </c>
      <c r="N29" s="154">
        <f>IF(K29="62 Frais d'administration et honoraires",H29,"")</f>
      </c>
      <c r="O29" s="154">
        <f>IF(K29="63 Impôts - taxes et versements assimilés",H29,"")</f>
      </c>
      <c r="P29" s="154">
        <f>IF(K29="64 Frais de personnel",H29,"")</f>
      </c>
      <c r="Q29" s="155">
        <f>IF(K29="66 Charges financières des emprunts, agios",H29,"")</f>
      </c>
      <c r="R29" s="154">
        <f>IF(K29="661 Rembourcement d'annuités d'emprunt",H29,"")</f>
      </c>
      <c r="S29" s="153">
        <f>IF(K29="671 Travaux décidés par l'AG",H29,"")</f>
      </c>
      <c r="T29" s="153">
        <f>IF(K29="672 Travaux urgents",H29,"")</f>
      </c>
      <c r="U29" s="153">
        <f>IF(K29="673 Etudes techniques, diagnostic",H29,"")</f>
      </c>
      <c r="V29" s="153">
        <f>IF(K29="677 Pertes sur créances irrécouvrables",H29,"")</f>
      </c>
      <c r="W29" s="153">
        <f>IF(K29="68 Dotations aux dépréciations sur créances douteuses",H29,"")</f>
      </c>
    </row>
    <row r="30" spans="2:23" ht="15.75">
      <c r="B30" s="31" t="s">
        <v>196</v>
      </c>
      <c r="C30" s="16"/>
      <c r="D30" s="17"/>
      <c r="E30" s="358">
        <f>SUM(E28:E29)</f>
        <v>0</v>
      </c>
      <c r="G30" s="31" t="s">
        <v>196</v>
      </c>
      <c r="H30" s="88">
        <f>SUM(H28:H29)</f>
        <v>0</v>
      </c>
      <c r="I30" s="86">
        <f>'Livre de compte'!N17+'Livre de compte'!N30+'Livre de compte'!N43+'Livre de compte'!N60+'Livre de compte'!N73+'Livre de compte'!N86+'Livre de compte'!N103+'Livre de compte'!N116+'Livre de compte'!N129+'Livre de compte'!N146+'Livre de compte'!N159+'Livre de compte'!N172</f>
        <v>0</v>
      </c>
      <c r="J30" s="85">
        <f>H30+I30</f>
        <v>0</v>
      </c>
      <c r="K30" s="87"/>
      <c r="L30" s="156"/>
      <c r="M30" s="156"/>
      <c r="N30" s="156"/>
      <c r="O30" s="156"/>
      <c r="P30" s="156"/>
      <c r="Q30" s="156"/>
      <c r="R30" s="156"/>
      <c r="S30" s="156"/>
      <c r="T30" s="156"/>
      <c r="U30" s="156"/>
      <c r="V30" s="156"/>
      <c r="W30" s="156"/>
    </row>
    <row r="31" spans="8:23" ht="9.75" customHeight="1">
      <c r="H31" s="70"/>
      <c r="I31" s="70"/>
      <c r="J31" s="70"/>
      <c r="L31" s="156"/>
      <c r="M31" s="156"/>
      <c r="N31" s="156"/>
      <c r="O31" s="156"/>
      <c r="P31" s="156"/>
      <c r="Q31" s="156"/>
      <c r="R31" s="156"/>
      <c r="S31" s="156"/>
      <c r="T31" s="156"/>
      <c r="U31" s="156"/>
      <c r="V31" s="156"/>
      <c r="W31" s="156"/>
    </row>
    <row r="32" spans="2:23" ht="15.75">
      <c r="B32" s="31" t="s">
        <v>75</v>
      </c>
      <c r="C32" s="14"/>
      <c r="D32" s="14"/>
      <c r="E32" s="359"/>
      <c r="G32" s="31" t="s">
        <v>75</v>
      </c>
      <c r="H32" s="71"/>
      <c r="I32" s="71"/>
      <c r="J32" s="149" t="s">
        <v>446</v>
      </c>
      <c r="K32" s="87"/>
      <c r="L32" s="156"/>
      <c r="M32" s="156"/>
      <c r="N32" s="156"/>
      <c r="O32" s="156"/>
      <c r="P32" s="156"/>
      <c r="Q32" s="156"/>
      <c r="R32" s="156"/>
      <c r="S32" s="156"/>
      <c r="T32" s="156"/>
      <c r="U32" s="156"/>
      <c r="V32" s="156"/>
      <c r="W32" s="156"/>
    </row>
    <row r="33" spans="2:23" ht="15">
      <c r="B33" s="196" t="s">
        <v>7</v>
      </c>
      <c r="C33" s="177"/>
      <c r="D33" s="190"/>
      <c r="E33" s="356">
        <v>0</v>
      </c>
      <c r="G33" s="304" t="s">
        <v>7</v>
      </c>
      <c r="H33" s="82">
        <f>IF(E33=0,"",E33)</f>
      </c>
      <c r="I33" s="71"/>
      <c r="J33" s="71"/>
      <c r="K33" s="200"/>
      <c r="L33" s="153">
        <f>IF(K33="60 Achat de matières et fournitures",H33,"")</f>
      </c>
      <c r="M33" s="154">
        <f>IF(K33="61 Services extérieurs",H33,"")</f>
      </c>
      <c r="N33" s="154">
        <f>IF(K33="62 Frais d'administration et honoraires",H33,"")</f>
      </c>
      <c r="O33" s="154">
        <f>IF(K33="63 Impôts - taxes et versements assimilés",H33,"")</f>
      </c>
      <c r="P33" s="154">
        <f>IF(K33="64 Frais de personnel",H33,"")</f>
      </c>
      <c r="Q33" s="155">
        <f>IF(K33="66 Charges financières des emprunts, agios",H33,"")</f>
      </c>
      <c r="R33" s="154">
        <f>IF(K33="661 Rembourcement d'annuités d'emprunt",H33,"")</f>
      </c>
      <c r="S33" s="153">
        <f>IF(K33="671 Travaux décidés par l'AG",H33,"")</f>
      </c>
      <c r="T33" s="153">
        <f>IF(K33="672 Travaux urgents",H33,"")</f>
      </c>
      <c r="U33" s="153">
        <f>IF(K33="673 Etudes techniques, diagnostic",H33,"")</f>
      </c>
      <c r="V33" s="153">
        <f>IF(K33="677 Pertes sur créances irrécouvrables",H33,"")</f>
      </c>
      <c r="W33" s="153">
        <f>IF(K33="68 Dotations aux dépréciations sur créances douteuses",H33,"")</f>
      </c>
    </row>
    <row r="34" spans="2:23" ht="15">
      <c r="B34" s="199"/>
      <c r="C34" s="197"/>
      <c r="D34" s="194"/>
      <c r="E34" s="360"/>
      <c r="G34" s="79"/>
      <c r="H34" s="84">
        <f>IF(E34=0,"",E34)</f>
      </c>
      <c r="I34" s="73"/>
      <c r="J34" s="73"/>
      <c r="K34" s="200"/>
      <c r="L34" s="153">
        <f>IF(K34="60 Achat de matières et fournitures",H34,"")</f>
      </c>
      <c r="M34" s="154">
        <f>IF(K34="61 Services extérieurs",H34,"")</f>
      </c>
      <c r="N34" s="154">
        <f>IF(K34="62 Frais d'administration et honoraires",H34,"")</f>
      </c>
      <c r="O34" s="154">
        <f>IF(K34="63 Impôts - taxes et versements assimilés",H34,"")</f>
      </c>
      <c r="P34" s="154">
        <f>IF(K34="64 Frais de personnel",H34,"")</f>
      </c>
      <c r="Q34" s="155">
        <f>IF(K34="66 Charges financières des emprunts, agios",H34,"")</f>
      </c>
      <c r="R34" s="154">
        <f>IF(K34="661 Rembourcement d'annuités d'emprunt",H34,"")</f>
      </c>
      <c r="S34" s="153">
        <f>IF(K34="671 Travaux décidés par l'AG",H34,"")</f>
      </c>
      <c r="T34" s="153">
        <f>IF(K34="672 Travaux urgents",H34,"")</f>
      </c>
      <c r="U34" s="153">
        <f>IF(K34="673 Etudes techniques, diagnostic",H34,"")</f>
      </c>
      <c r="V34" s="153">
        <f>IF(K34="677 Pertes sur créances irrécouvrables",H34,"")</f>
      </c>
      <c r="W34" s="153">
        <f>IF(K34="68 Dotations aux dépréciations sur créances douteuses",H34,"")</f>
      </c>
    </row>
    <row r="35" spans="2:23" ht="15.75">
      <c r="B35" s="31" t="s">
        <v>426</v>
      </c>
      <c r="C35" s="16"/>
      <c r="D35" s="17"/>
      <c r="E35" s="358">
        <f>SUM(E33:E34)</f>
        <v>0</v>
      </c>
      <c r="G35" s="31" t="s">
        <v>426</v>
      </c>
      <c r="H35" s="88">
        <f>SUM(H33:H34)</f>
        <v>0</v>
      </c>
      <c r="I35" s="86">
        <f>'Livre de compte'!O17+'Livre de compte'!O30+'Livre de compte'!O43+'Livre de compte'!O60+'Livre de compte'!O73+'Livre de compte'!O86+'Livre de compte'!O103+'Livre de compte'!O116+'Livre de compte'!O129+'Livre de compte'!O146+'Livre de compte'!O159+'Livre de compte'!O172</f>
        <v>0</v>
      </c>
      <c r="J35" s="85">
        <f>H35+I35</f>
        <v>0</v>
      </c>
      <c r="K35" s="87"/>
      <c r="L35" s="156"/>
      <c r="M35" s="156"/>
      <c r="N35" s="156"/>
      <c r="O35" s="156"/>
      <c r="P35" s="156"/>
      <c r="Q35" s="156"/>
      <c r="R35" s="156"/>
      <c r="S35" s="156"/>
      <c r="T35" s="156"/>
      <c r="U35" s="156"/>
      <c r="V35" s="156"/>
      <c r="W35" s="156"/>
    </row>
    <row r="36" spans="8:23" ht="9.75" customHeight="1">
      <c r="H36" s="70"/>
      <c r="I36" s="70"/>
      <c r="J36" s="70"/>
      <c r="L36" s="156"/>
      <c r="M36" s="156"/>
      <c r="N36" s="156"/>
      <c r="O36" s="156"/>
      <c r="P36" s="156"/>
      <c r="Q36" s="156"/>
      <c r="R36" s="156"/>
      <c r="S36" s="156"/>
      <c r="T36" s="156"/>
      <c r="U36" s="156"/>
      <c r="V36" s="156"/>
      <c r="W36" s="156"/>
    </row>
    <row r="37" spans="2:23" ht="15.75">
      <c r="B37" s="31" t="s">
        <v>350</v>
      </c>
      <c r="C37" s="14"/>
      <c r="D37" s="14"/>
      <c r="E37" s="359"/>
      <c r="G37" s="31" t="s">
        <v>295</v>
      </c>
      <c r="H37" s="71"/>
      <c r="I37" s="71"/>
      <c r="J37" s="149" t="s">
        <v>446</v>
      </c>
      <c r="K37" s="87"/>
      <c r="L37" s="156"/>
      <c r="M37" s="156"/>
      <c r="N37" s="156"/>
      <c r="O37" s="156"/>
      <c r="P37" s="156"/>
      <c r="Q37" s="156"/>
      <c r="R37" s="156"/>
      <c r="S37" s="156"/>
      <c r="T37" s="156"/>
      <c r="U37" s="156"/>
      <c r="V37" s="156"/>
      <c r="W37" s="156"/>
    </row>
    <row r="38" spans="2:23" ht="15">
      <c r="B38" s="196" t="s">
        <v>361</v>
      </c>
      <c r="C38" s="177"/>
      <c r="D38" s="190"/>
      <c r="E38" s="356">
        <v>0</v>
      </c>
      <c r="G38" s="75" t="s">
        <v>361</v>
      </c>
      <c r="H38" s="82">
        <f>IF(E38=0,"",E38)</f>
      </c>
      <c r="I38" s="71">
        <f>'Livre de compte'!AG17+'Livre de compte'!AG30+'Livre de compte'!AG43+'Livre de compte'!AG60+'Livre de compte'!AG73+'Livre de compte'!AG86+'Livre de compte'!AG103+'Livre de compte'!AG116+'Livre de compte'!AG129+'Livre de compte'!AG146+'Livre de compte'!AG159+'Livre de compte'!AG172</f>
        <v>0</v>
      </c>
      <c r="J38" s="71"/>
      <c r="K38" s="200"/>
      <c r="L38" s="153">
        <f>IF(K38="60 Achat de matières et fournitures",H38,"")</f>
      </c>
      <c r="M38" s="154">
        <f>IF(K38="61 Services extérieurs",H38,"")</f>
      </c>
      <c r="N38" s="154">
        <f>IF(K38="62 Frais d'administration et honoraires",H38,"")</f>
      </c>
      <c r="O38" s="154">
        <f>IF(K38="63 Impôts - taxes et versements assimilés",H38,"")</f>
      </c>
      <c r="P38" s="154">
        <f>IF(K38="64 Frais de personnel",H38,"")</f>
      </c>
      <c r="Q38" s="155">
        <f>IF(K38="66 Charges financières des emprunts, agios",H38,"")</f>
      </c>
      <c r="R38" s="154">
        <f>IF(K38="661 Rembourcement d'annuités d'emprunt",H38,"")</f>
      </c>
      <c r="S38" s="153">
        <f>IF(K38="671 Travaux décidés par l'AG",H38,"")</f>
      </c>
      <c r="T38" s="153">
        <f>IF(K38="672 Travaux urgents",H38,"")</f>
      </c>
      <c r="U38" s="153">
        <f>IF(K38="673 Etudes techniques, diagnostic",H38,"")</f>
      </c>
      <c r="V38" s="153">
        <f>IF(K38="677 Pertes sur créances irrécouvrables",H38,"")</f>
      </c>
      <c r="W38" s="153">
        <f>IF(K38="68 Dotations aux dépréciations sur créances douteuses",H38,"")</f>
      </c>
    </row>
    <row r="39" spans="2:23" ht="15">
      <c r="B39" s="191" t="s">
        <v>100</v>
      </c>
      <c r="C39" s="178"/>
      <c r="D39" s="193"/>
      <c r="E39" s="357">
        <v>0</v>
      </c>
      <c r="G39" s="161" t="s">
        <v>100</v>
      </c>
      <c r="H39" s="83">
        <f>IF(E39=0,"",E39)</f>
      </c>
      <c r="I39" s="72">
        <f>'Livre de compte'!Q17+'Livre de compte'!Q30+'Livre de compte'!Q43+'Livre de compte'!Q60+'Livre de compte'!Q73+'Livre de compte'!Q86+'Livre de compte'!Q103+'Livre de compte'!Q116+'Livre de compte'!Q129+'Livre de compte'!Q146+'Livre de compte'!Q159+'Livre de compte'!Q172</f>
        <v>0</v>
      </c>
      <c r="J39" s="72"/>
      <c r="K39" s="315"/>
      <c r="L39" s="153">
        <f>IF(K39="60 Achat de matières et fournitures",H39,"")</f>
      </c>
      <c r="M39" s="154">
        <f>IF(K39="61 Services extérieurs",H39,"")</f>
      </c>
      <c r="N39" s="154">
        <f>IF(K39="62 Frais d'administration et honoraires",H39,"")</f>
      </c>
      <c r="O39" s="154">
        <f>IF(K39="63 Impôts - taxes et versements assimilés",H39,"")</f>
      </c>
      <c r="P39" s="154">
        <f>IF(K39="64 Frais de personnel",H39,"")</f>
      </c>
      <c r="Q39" s="155">
        <f>IF(K39="66 Charges financières des emprunts, agios",H39,"")</f>
      </c>
      <c r="R39" s="154">
        <f>IF(K39="661 Rembourcement d'annuités d'emprunt",H39,"")</f>
      </c>
      <c r="S39" s="153">
        <f>IF(K39="671 Travaux décidés par l'AG",H39,"")</f>
      </c>
      <c r="T39" s="153">
        <f>IF(K39="672 Travaux urgents",H39,"")</f>
      </c>
      <c r="U39" s="153">
        <f>IF(K39="673 Etudes techniques, diagnostic",H39,"")</f>
      </c>
      <c r="V39" s="153">
        <f>IF(K39="677 Pertes sur créances irrécouvrables",H39,"")</f>
      </c>
      <c r="W39" s="153">
        <f>IF(K39="68 Dotations aux dépréciations sur créances douteuses",H39,"")</f>
      </c>
    </row>
    <row r="40" spans="2:23" ht="15">
      <c r="B40" s="199"/>
      <c r="C40" s="197"/>
      <c r="D40" s="194"/>
      <c r="E40" s="360"/>
      <c r="G40" s="79"/>
      <c r="H40" s="84">
        <f>IF(E40=0,"",E40)</f>
      </c>
      <c r="I40" s="73"/>
      <c r="J40" s="73"/>
      <c r="K40" s="200"/>
      <c r="L40" s="153">
        <f>IF(K40="60 Achat de matières et fournitures",H40,"")</f>
      </c>
      <c r="M40" s="154">
        <f>IF(K40="61 Services extérieurs",H40,"")</f>
      </c>
      <c r="N40" s="154">
        <f>IF(K40="62 Frais d'administration et honoraires",H40,"")</f>
      </c>
      <c r="O40" s="154">
        <f>IF(K40="63 Impôts - taxes et versements assimilés",H40,"")</f>
      </c>
      <c r="P40" s="154">
        <f>IF(K40="64 Frais de personnel",H40,"")</f>
      </c>
      <c r="Q40" s="155">
        <f>IF(K40="66 Charges financières des emprunts, agios",H40,"")</f>
      </c>
      <c r="R40" s="154">
        <f>IF(K40="661 Rembourcement d'annuités d'emprunt",H40,"")</f>
      </c>
      <c r="S40" s="153">
        <f>IF(K40="671 Travaux décidés par l'AG",H40,"")</f>
      </c>
      <c r="T40" s="153">
        <f>IF(K40="672 Travaux urgents",H40,"")</f>
      </c>
      <c r="U40" s="153">
        <f>IF(K40="673 Etudes techniques, diagnostic",H40,"")</f>
      </c>
      <c r="V40" s="153">
        <f>IF(K40="677 Pertes sur créances irrécouvrables",H40,"")</f>
      </c>
      <c r="W40" s="153">
        <f>IF(K40="68 Dotations aux dépréciations sur créances douteuses",H40,"")</f>
      </c>
    </row>
    <row r="41" spans="2:23" ht="15.75">
      <c r="B41" s="31" t="s">
        <v>226</v>
      </c>
      <c r="C41" s="16"/>
      <c r="D41" s="17"/>
      <c r="E41" s="358">
        <f>SUM(E38:E40)</f>
        <v>0</v>
      </c>
      <c r="G41" s="31" t="s">
        <v>362</v>
      </c>
      <c r="H41" s="88">
        <f>SUM(H38:H40)</f>
        <v>0</v>
      </c>
      <c r="I41" s="86">
        <f>I38+I39+I40</f>
        <v>0</v>
      </c>
      <c r="J41" s="85">
        <f>H41+I41</f>
        <v>0</v>
      </c>
      <c r="K41" s="87"/>
      <c r="L41" s="140">
        <f aca="true" t="shared" si="0" ref="L41:W41">SUM(L9:L40)</f>
        <v>0</v>
      </c>
      <c r="M41" s="140">
        <f t="shared" si="0"/>
        <v>0</v>
      </c>
      <c r="N41" s="140">
        <f t="shared" si="0"/>
        <v>0</v>
      </c>
      <c r="O41" s="140">
        <f t="shared" si="0"/>
        <v>0</v>
      </c>
      <c r="P41" s="140">
        <f t="shared" si="0"/>
        <v>0</v>
      </c>
      <c r="Q41" s="140">
        <f t="shared" si="0"/>
        <v>0</v>
      </c>
      <c r="R41" s="140">
        <f t="shared" si="0"/>
        <v>0</v>
      </c>
      <c r="S41" s="140">
        <f t="shared" si="0"/>
        <v>0</v>
      </c>
      <c r="T41" s="140">
        <f t="shared" si="0"/>
        <v>0</v>
      </c>
      <c r="U41" s="140">
        <f t="shared" si="0"/>
        <v>0</v>
      </c>
      <c r="V41" s="140">
        <f t="shared" si="0"/>
        <v>0</v>
      </c>
      <c r="W41" s="140">
        <f t="shared" si="0"/>
        <v>0</v>
      </c>
    </row>
    <row r="42" spans="2:9" ht="15.75">
      <c r="B42" s="31" t="s">
        <v>225</v>
      </c>
      <c r="C42" s="16"/>
      <c r="D42" s="31"/>
      <c r="E42" s="358">
        <f>E13+E20+E25+E30+E35+E41</f>
        <v>0</v>
      </c>
      <c r="G42" s="31" t="s">
        <v>225</v>
      </c>
      <c r="H42" s="88">
        <f>H13+H20+H25+H30+H35+H41</f>
        <v>0</v>
      </c>
      <c r="I42" s="85">
        <f>I13+I20+I25+I30+I35+I41</f>
        <v>0</v>
      </c>
    </row>
    <row r="43" ht="15"/>
    <row r="44" spans="2:23" ht="15.75">
      <c r="B44" s="31" t="s">
        <v>431</v>
      </c>
      <c r="C44" s="14"/>
      <c r="D44" s="14"/>
      <c r="E44" s="359"/>
      <c r="G44" s="31" t="s">
        <v>431</v>
      </c>
      <c r="H44" s="147" t="s">
        <v>137</v>
      </c>
      <c r="I44" s="81" t="s">
        <v>136</v>
      </c>
      <c r="J44" s="81" t="s">
        <v>227</v>
      </c>
      <c r="K44" s="19" t="s">
        <v>134</v>
      </c>
      <c r="L44" s="132">
        <v>701</v>
      </c>
      <c r="M44" s="132">
        <v>702</v>
      </c>
      <c r="N44" s="132">
        <v>703</v>
      </c>
      <c r="O44" s="132">
        <v>704</v>
      </c>
      <c r="P44" s="132">
        <v>711</v>
      </c>
      <c r="Q44" s="132">
        <v>712</v>
      </c>
      <c r="R44" s="132">
        <v>713</v>
      </c>
      <c r="S44" s="132">
        <v>714</v>
      </c>
      <c r="T44" s="132">
        <v>78</v>
      </c>
      <c r="U44" s="156"/>
      <c r="V44" s="156"/>
      <c r="W44" s="156"/>
    </row>
    <row r="45" spans="2:23" ht="15">
      <c r="B45" s="196" t="s">
        <v>124</v>
      </c>
      <c r="C45" s="177"/>
      <c r="D45" s="190"/>
      <c r="E45" s="356">
        <v>0</v>
      </c>
      <c r="G45" s="159" t="s">
        <v>124</v>
      </c>
      <c r="H45" s="351" t="str">
        <f>IF(E45=0,"0,00 €",E45)</f>
        <v>0,00 €</v>
      </c>
      <c r="I45" s="305">
        <f>('Comptes Lots'!C21+'Comptes Lots'!C44+'Comptes Lots'!C67+'Comptes Lots'!C90+'Comptes Lots'!C113+'Comptes Lots'!C136+'Comptes Lots'!C159+'Comptes Lots'!C182)+('Comptes Lots'!F17+'Comptes Lots'!G17+'Comptes Lots'!F40+'Comptes Lots'!G40+'Comptes Lots'!F63+'Comptes Lots'!G63+'Comptes Lots'!F86+'Comptes Lots'!G86+'Comptes Lots'!F109+'Comptes Lots'!G109+'Comptes Lots'!F1132+'Comptes Lots'!G132+'Comptes Lots'!F155+'Comptes Lots'!G155+'Comptes Lots'!F178+'Comptes Lots'!G178)+('Comptes Lots'!H17+'Comptes Lots'!H40+'Comptes Lots'!H63+'Comptes Lots'!H86+'Comptes Lots'!H109+'Comptes Lots'!H132+'Comptes Lots'!H155+'Comptes Lots'!H178)+('Comptes Lots'!I17+'Comptes Lots'!I40+'Comptes Lots'!I63+'Comptes Lots'!I86+'Comptes Lots'!I109+'Comptes Lots'!I132+'Comptes Lots'!I155+'Comptes Lots'!I178)</f>
        <v>0</v>
      </c>
      <c r="J45" s="160"/>
      <c r="K45" s="200"/>
      <c r="L45" s="153">
        <f aca="true" t="shared" si="1" ref="L45:L50">IF(K45="701 Provisions sur opérations courantes",H45,"")</f>
      </c>
      <c r="M45" s="154">
        <f aca="true" t="shared" si="2" ref="M45:M50">IF(K45="702 Provisions pour travaux",H45,"")</f>
      </c>
      <c r="N45" s="154">
        <f aca="true" t="shared" si="3" ref="N45:N50">IF(K45="703 Avances",H45,"")</f>
      </c>
      <c r="O45" s="154">
        <f aca="true" t="shared" si="4" ref="O45:O50">IF(K45="704 Rembourcement d'emprunt",H45,"")</f>
      </c>
      <c r="P45" s="154">
        <f aca="true" t="shared" si="5" ref="P45:P50">IF(K45="711 Subventions sur travaux",H45,"")</f>
      </c>
      <c r="Q45" s="155">
        <f aca="true" t="shared" si="6" ref="Q45:Q50">IF(K45="712 Emprunts",H45,"")</f>
      </c>
      <c r="R45" s="154">
        <f aca="true" t="shared" si="7" ref="R45:R50">IF(K45="713 Indemnités d'assurances",H45,"")</f>
      </c>
      <c r="S45" s="153">
        <f aca="true" t="shared" si="8" ref="S45:S50">IF(K45="714 Produits divers",H45,"")</f>
      </c>
      <c r="T45" s="153">
        <f aca="true" t="shared" si="9" ref="T45:T50">IF(K45="78 Reprises de dépréciations sur créance",H45,"")</f>
      </c>
      <c r="U45" s="156"/>
      <c r="V45" s="156"/>
      <c r="W45" s="156"/>
    </row>
    <row r="46" spans="2:23" ht="15">
      <c r="B46" s="191" t="s">
        <v>92</v>
      </c>
      <c r="C46" s="192"/>
      <c r="D46" s="193"/>
      <c r="E46" s="357">
        <v>0</v>
      </c>
      <c r="G46" s="161" t="s">
        <v>92</v>
      </c>
      <c r="H46" s="352" t="str">
        <f>IF(E46=0,"0,00 €",E46)</f>
        <v>0,00 €</v>
      </c>
      <c r="I46" s="306">
        <f>-('Comptes Lots'!F17+'Comptes Lots'!G17+'Comptes Lots'!F40+'Comptes Lots'!G40+'Comptes Lots'!F63+'Comptes Lots'!G63+'Comptes Lots'!F86+'Comptes Lots'!G86+'Comptes Lots'!F109+'Comptes Lots'!G109+'Comptes Lots'!F132+'Comptes Lots'!G132+'Comptes Lots'!F155+'Comptes Lots'!G155+'Comptes Lots'!F178+'Comptes Lots'!G178)</f>
        <v>0</v>
      </c>
      <c r="J46" s="162"/>
      <c r="K46" s="200"/>
      <c r="L46" s="153">
        <f t="shared" si="1"/>
      </c>
      <c r="M46" s="154">
        <f t="shared" si="2"/>
      </c>
      <c r="N46" s="154">
        <f t="shared" si="3"/>
      </c>
      <c r="O46" s="154">
        <f t="shared" si="4"/>
      </c>
      <c r="P46" s="154">
        <f t="shared" si="5"/>
      </c>
      <c r="Q46" s="155">
        <f t="shared" si="6"/>
      </c>
      <c r="R46" s="154">
        <f t="shared" si="7"/>
      </c>
      <c r="S46" s="153">
        <f t="shared" si="8"/>
      </c>
      <c r="T46" s="153">
        <f t="shared" si="9"/>
      </c>
      <c r="U46" s="156"/>
      <c r="V46" s="156"/>
      <c r="W46" s="156"/>
    </row>
    <row r="47" spans="2:23" ht="15.75">
      <c r="B47" s="191" t="s">
        <v>443</v>
      </c>
      <c r="C47" s="192"/>
      <c r="D47" s="193"/>
      <c r="E47" s="357">
        <f>E41</f>
        <v>0</v>
      </c>
      <c r="G47" s="161" t="s">
        <v>443</v>
      </c>
      <c r="H47" s="352">
        <f>IF(E47=0,"",E47)</f>
      </c>
      <c r="I47" s="306">
        <f>-('Comptes Lots'!I17+'Comptes Lots'!I40+'Comptes Lots'!I63+'Comptes Lots'!I86+'Comptes Lots'!I109+'Comptes Lots'!I178)-('Comptes Lots'!H17+'Comptes Lots'!H40+'Comptes Lots'!H63+'Comptes Lots'!H86+'Comptes Lots'!H109+'Comptes Lots'!H132+'Comptes Lots'!H155+'Comptes Lots'!H178)</f>
        <v>0</v>
      </c>
      <c r="J47" s="163"/>
      <c r="K47" s="200"/>
      <c r="L47" s="153">
        <f t="shared" si="1"/>
      </c>
      <c r="M47" s="154">
        <f t="shared" si="2"/>
      </c>
      <c r="N47" s="154">
        <f t="shared" si="3"/>
      </c>
      <c r="O47" s="154">
        <f t="shared" si="4"/>
      </c>
      <c r="P47" s="154">
        <f t="shared" si="5"/>
      </c>
      <c r="Q47" s="155">
        <f t="shared" si="6"/>
      </c>
      <c r="R47" s="154">
        <f t="shared" si="7"/>
      </c>
      <c r="S47" s="153">
        <f t="shared" si="8"/>
      </c>
      <c r="T47" s="153">
        <f t="shared" si="9"/>
      </c>
      <c r="U47" s="156"/>
      <c r="V47" s="156"/>
      <c r="W47" s="156"/>
    </row>
    <row r="48" spans="2:20" ht="15">
      <c r="B48" s="191" t="s">
        <v>378</v>
      </c>
      <c r="C48" s="192"/>
      <c r="D48" s="193"/>
      <c r="E48" s="357"/>
      <c r="G48" s="161" t="s">
        <v>378</v>
      </c>
      <c r="H48" s="352">
        <f>IF(E48=0,"",E48)</f>
      </c>
      <c r="I48" s="98"/>
      <c r="J48" s="162"/>
      <c r="K48" s="200"/>
      <c r="L48" s="153">
        <f t="shared" si="1"/>
      </c>
      <c r="M48" s="154">
        <f t="shared" si="2"/>
      </c>
      <c r="N48" s="154">
        <f t="shared" si="3"/>
      </c>
      <c r="O48" s="154">
        <f t="shared" si="4"/>
      </c>
      <c r="P48" s="154">
        <f t="shared" si="5"/>
      </c>
      <c r="Q48" s="155">
        <f t="shared" si="6"/>
      </c>
      <c r="R48" s="154">
        <f t="shared" si="7"/>
      </c>
      <c r="S48" s="153">
        <f t="shared" si="8"/>
      </c>
      <c r="T48" s="153">
        <f t="shared" si="9"/>
      </c>
    </row>
    <row r="49" spans="2:20" ht="15">
      <c r="B49" s="191" t="s">
        <v>228</v>
      </c>
      <c r="C49" s="192"/>
      <c r="D49" s="193"/>
      <c r="E49" s="357"/>
      <c r="G49" s="161" t="s">
        <v>228</v>
      </c>
      <c r="H49" s="352">
        <f>IF(E49=0,"",E49)</f>
      </c>
      <c r="I49" s="98"/>
      <c r="J49" s="162"/>
      <c r="K49" s="200"/>
      <c r="L49" s="153">
        <f t="shared" si="1"/>
      </c>
      <c r="M49" s="154">
        <f t="shared" si="2"/>
      </c>
      <c r="N49" s="154">
        <f t="shared" si="3"/>
      </c>
      <c r="O49" s="154">
        <f t="shared" si="4"/>
      </c>
      <c r="P49" s="154">
        <f t="shared" si="5"/>
      </c>
      <c r="Q49" s="155">
        <f t="shared" si="6"/>
      </c>
      <c r="R49" s="154">
        <f t="shared" si="7"/>
      </c>
      <c r="S49" s="153">
        <f t="shared" si="8"/>
      </c>
      <c r="T49" s="153">
        <f t="shared" si="9"/>
      </c>
    </row>
    <row r="50" spans="2:20" ht="15">
      <c r="B50" s="194"/>
      <c r="C50" s="195"/>
      <c r="D50" s="194"/>
      <c r="E50" s="360"/>
      <c r="G50" s="164"/>
      <c r="H50" s="353">
        <f>IF(E50=0,"",E50)</f>
      </c>
      <c r="I50" s="89"/>
      <c r="J50" s="165"/>
      <c r="K50" s="200"/>
      <c r="L50" s="153">
        <f t="shared" si="1"/>
      </c>
      <c r="M50" s="154">
        <f t="shared" si="2"/>
      </c>
      <c r="N50" s="154">
        <f t="shared" si="3"/>
      </c>
      <c r="O50" s="154">
        <f t="shared" si="4"/>
      </c>
      <c r="P50" s="154">
        <f t="shared" si="5"/>
      </c>
      <c r="Q50" s="155">
        <f t="shared" si="6"/>
      </c>
      <c r="R50" s="154">
        <f t="shared" si="7"/>
      </c>
      <c r="S50" s="153">
        <f t="shared" si="8"/>
      </c>
      <c r="T50" s="153">
        <f t="shared" si="9"/>
      </c>
    </row>
    <row r="51" spans="2:20" ht="15.75">
      <c r="B51" s="31" t="s">
        <v>224</v>
      </c>
      <c r="C51" s="16"/>
      <c r="D51" s="17"/>
      <c r="E51" s="358">
        <f>SUM(E45:E50)</f>
        <v>0</v>
      </c>
      <c r="G51" s="31" t="s">
        <v>224</v>
      </c>
      <c r="H51" s="88">
        <f>SUM(H45:H50)</f>
        <v>0</v>
      </c>
      <c r="I51" s="88">
        <f>SUM(I45:I50)</f>
        <v>0</v>
      </c>
      <c r="J51" s="85">
        <f>H51-I51</f>
        <v>0</v>
      </c>
      <c r="K51" s="87"/>
      <c r="L51" s="140">
        <f aca="true" t="shared" si="10" ref="L51:T51">SUM(L45:L50)</f>
        <v>0</v>
      </c>
      <c r="M51" s="140">
        <f t="shared" si="10"/>
        <v>0</v>
      </c>
      <c r="N51" s="140">
        <f t="shared" si="10"/>
        <v>0</v>
      </c>
      <c r="O51" s="140">
        <f t="shared" si="10"/>
        <v>0</v>
      </c>
      <c r="P51" s="140">
        <f t="shared" si="10"/>
        <v>0</v>
      </c>
      <c r="Q51" s="140">
        <f t="shared" si="10"/>
        <v>0</v>
      </c>
      <c r="R51" s="140">
        <f t="shared" si="10"/>
        <v>0</v>
      </c>
      <c r="S51" s="140">
        <f t="shared" si="10"/>
        <v>0</v>
      </c>
      <c r="T51" s="140">
        <f t="shared" si="10"/>
        <v>0</v>
      </c>
    </row>
    <row r="52" ht="15">
      <c r="L52" s="156"/>
    </row>
    <row r="53" ht="15">
      <c r="L53" s="156"/>
    </row>
    <row r="54" ht="15">
      <c r="L54" s="156"/>
    </row>
    <row r="55" ht="15">
      <c r="L55" s="156"/>
    </row>
    <row r="56" ht="15">
      <c r="L56" s="156"/>
    </row>
    <row r="57" ht="15">
      <c r="L57" s="156"/>
    </row>
    <row r="58" ht="15">
      <c r="L58" s="156"/>
    </row>
    <row r="59" spans="1:12" ht="15">
      <c r="A59" s="156"/>
      <c r="B59" s="156"/>
      <c r="C59" s="156"/>
      <c r="D59" s="156"/>
      <c r="E59" s="410"/>
      <c r="F59" s="156"/>
      <c r="L59" s="156"/>
    </row>
    <row r="60" spans="1:12" ht="15">
      <c r="A60" s="156"/>
      <c r="B60" s="156"/>
      <c r="C60" s="156"/>
      <c r="D60" s="156"/>
      <c r="E60" s="410"/>
      <c r="F60" s="156"/>
      <c r="L60" s="156"/>
    </row>
    <row r="61" spans="1:6" ht="15">
      <c r="A61" s="156"/>
      <c r="B61" s="156"/>
      <c r="C61" s="156"/>
      <c r="D61" s="156"/>
      <c r="E61" s="410"/>
      <c r="F61" s="156"/>
    </row>
    <row r="62" spans="1:6" ht="15">
      <c r="A62" s="156"/>
      <c r="B62" s="156"/>
      <c r="C62" s="156"/>
      <c r="D62" s="156"/>
      <c r="E62" s="410"/>
      <c r="F62" s="156"/>
    </row>
    <row r="63" spans="1:6" ht="15">
      <c r="A63" s="156"/>
      <c r="B63" s="156"/>
      <c r="C63" s="156"/>
      <c r="D63" s="156"/>
      <c r="E63" s="410"/>
      <c r="F63" s="156"/>
    </row>
    <row r="64" spans="1:6" ht="15">
      <c r="A64" s="156"/>
      <c r="B64" s="156"/>
      <c r="C64" s="156"/>
      <c r="D64" s="156"/>
      <c r="E64" s="410"/>
      <c r="F64" s="156"/>
    </row>
    <row r="65" spans="1:6" ht="15">
      <c r="A65" s="156"/>
      <c r="B65" s="156"/>
      <c r="C65" s="156"/>
      <c r="D65" s="156"/>
      <c r="E65" s="410"/>
      <c r="F65" s="156"/>
    </row>
    <row r="66" spans="1:6" ht="15">
      <c r="A66" s="156"/>
      <c r="B66" s="156"/>
      <c r="C66" s="156"/>
      <c r="D66" s="156"/>
      <c r="E66" s="410"/>
      <c r="F66" s="156"/>
    </row>
    <row r="67" spans="1:6" ht="15">
      <c r="A67" s="156"/>
      <c r="B67" s="156"/>
      <c r="C67" s="156"/>
      <c r="D67" s="156"/>
      <c r="E67" s="410"/>
      <c r="F67" s="156"/>
    </row>
    <row r="68" spans="1:6" ht="15">
      <c r="A68" s="156"/>
      <c r="B68" s="156"/>
      <c r="C68" s="156"/>
      <c r="D68" s="156"/>
      <c r="E68" s="410"/>
      <c r="F68" s="156"/>
    </row>
    <row r="69" spans="1:6" ht="15">
      <c r="A69" s="156"/>
      <c r="B69" s="156"/>
      <c r="C69" s="156"/>
      <c r="D69" s="156"/>
      <c r="E69" s="410"/>
      <c r="F69" s="156"/>
    </row>
    <row r="70" spans="1:6" ht="15">
      <c r="A70" s="156"/>
      <c r="B70" s="156"/>
      <c r="C70" s="156"/>
      <c r="D70" s="156"/>
      <c r="E70" s="410"/>
      <c r="F70" s="156"/>
    </row>
    <row r="71" spans="1:6" ht="15">
      <c r="A71" s="156"/>
      <c r="B71" s="156"/>
      <c r="C71" s="156"/>
      <c r="D71" s="156"/>
      <c r="E71" s="410"/>
      <c r="F71" s="156"/>
    </row>
    <row r="72" spans="1:6" ht="15">
      <c r="A72" s="156"/>
      <c r="B72" s="156"/>
      <c r="C72" s="156"/>
      <c r="D72" s="156"/>
      <c r="E72" s="410"/>
      <c r="F72" s="156"/>
    </row>
    <row r="73" spans="1:6" ht="15">
      <c r="A73" s="156"/>
      <c r="B73" s="156"/>
      <c r="C73" s="156"/>
      <c r="D73" s="156"/>
      <c r="E73" s="410"/>
      <c r="F73" s="156"/>
    </row>
    <row r="74" spans="1:6" ht="15">
      <c r="A74" s="156"/>
      <c r="B74" s="156"/>
      <c r="C74" s="156"/>
      <c r="D74" s="156"/>
      <c r="E74" s="410"/>
      <c r="F74" s="156"/>
    </row>
    <row r="75" spans="1:6" ht="15">
      <c r="A75" s="156"/>
      <c r="B75" s="156"/>
      <c r="C75" s="156"/>
      <c r="D75" s="156"/>
      <c r="E75" s="410"/>
      <c r="F75" s="156"/>
    </row>
    <row r="76" spans="1:6" ht="15">
      <c r="A76" s="156"/>
      <c r="B76" s="156"/>
      <c r="C76" s="156"/>
      <c r="D76" s="156"/>
      <c r="E76" s="410"/>
      <c r="F76" s="156"/>
    </row>
    <row r="77" spans="1:6" ht="15">
      <c r="A77" s="156"/>
      <c r="B77" s="156"/>
      <c r="C77" s="156"/>
      <c r="D77" s="156"/>
      <c r="E77" s="410"/>
      <c r="F77" s="156"/>
    </row>
    <row r="78" spans="1:6" ht="15">
      <c r="A78" s="156"/>
      <c r="B78" s="156"/>
      <c r="C78" s="156"/>
      <c r="D78" s="156"/>
      <c r="E78" s="410"/>
      <c r="F78" s="156"/>
    </row>
    <row r="79" spans="1:6" ht="15">
      <c r="A79" s="156"/>
      <c r="B79" s="156"/>
      <c r="C79" s="156"/>
      <c r="D79" s="156"/>
      <c r="E79" s="410"/>
      <c r="F79" s="156"/>
    </row>
    <row r="80" spans="1:6" ht="15">
      <c r="A80" s="156"/>
      <c r="B80" s="156"/>
      <c r="C80" s="156"/>
      <c r="D80" s="156"/>
      <c r="E80" s="410"/>
      <c r="F80" s="156"/>
    </row>
    <row r="81" spans="1:6" ht="15">
      <c r="A81" s="156"/>
      <c r="B81" s="156"/>
      <c r="C81" s="156"/>
      <c r="D81" s="156"/>
      <c r="E81" s="410"/>
      <c r="F81" s="156"/>
    </row>
    <row r="82" spans="1:6" ht="15">
      <c r="A82" s="156"/>
      <c r="B82" s="156"/>
      <c r="C82" s="156"/>
      <c r="D82" s="156"/>
      <c r="E82" s="410"/>
      <c r="F82" s="156"/>
    </row>
    <row r="83" spans="1:6" ht="15">
      <c r="A83" s="156"/>
      <c r="B83" s="156"/>
      <c r="C83" s="156"/>
      <c r="D83" s="156"/>
      <c r="E83" s="410"/>
      <c r="F83" s="156"/>
    </row>
    <row r="84" spans="1:6" ht="15">
      <c r="A84" s="156"/>
      <c r="B84" s="156"/>
      <c r="C84" s="156"/>
      <c r="D84" s="156"/>
      <c r="E84" s="410"/>
      <c r="F84" s="156"/>
    </row>
    <row r="85" spans="1:6" ht="15">
      <c r="A85" s="156"/>
      <c r="B85" s="156"/>
      <c r="C85" s="156"/>
      <c r="D85" s="156"/>
      <c r="E85" s="410"/>
      <c r="F85" s="156"/>
    </row>
    <row r="86" spans="1:6" ht="15">
      <c r="A86" s="156"/>
      <c r="B86" s="156"/>
      <c r="C86" s="156"/>
      <c r="D86" s="156"/>
      <c r="E86" s="410"/>
      <c r="F86" s="156"/>
    </row>
    <row r="87" spans="1:6" ht="15">
      <c r="A87" s="156"/>
      <c r="B87" s="156"/>
      <c r="C87" s="156"/>
      <c r="D87" s="156"/>
      <c r="E87" s="410"/>
      <c r="F87" s="156"/>
    </row>
    <row r="88" spans="1:6" ht="15">
      <c r="A88" s="156"/>
      <c r="B88" s="156"/>
      <c r="C88" s="156"/>
      <c r="D88" s="156"/>
      <c r="E88" s="410"/>
      <c r="F88" s="156"/>
    </row>
    <row r="89" spans="1:6" ht="15">
      <c r="A89" s="156"/>
      <c r="B89" s="156"/>
      <c r="C89" s="156"/>
      <c r="D89" s="156"/>
      <c r="E89" s="410"/>
      <c r="F89" s="156"/>
    </row>
    <row r="90" spans="1:6" ht="15">
      <c r="A90" s="156"/>
      <c r="B90" s="156"/>
      <c r="C90" s="156"/>
      <c r="D90" s="156"/>
      <c r="E90" s="410"/>
      <c r="F90" s="156"/>
    </row>
    <row r="91" spans="1:6" ht="15">
      <c r="A91" s="156"/>
      <c r="B91" s="156"/>
      <c r="C91" s="156"/>
      <c r="D91" s="156"/>
      <c r="E91" s="410"/>
      <c r="F91" s="156"/>
    </row>
    <row r="92" spans="1:6" ht="15">
      <c r="A92" s="156"/>
      <c r="B92" s="156"/>
      <c r="C92" s="156"/>
      <c r="D92" s="156"/>
      <c r="E92" s="410"/>
      <c r="F92" s="156"/>
    </row>
    <row r="93" spans="1:6" ht="15">
      <c r="A93" s="156"/>
      <c r="B93" s="156"/>
      <c r="C93" s="156"/>
      <c r="D93" s="156"/>
      <c r="E93" s="410"/>
      <c r="F93" s="156"/>
    </row>
    <row r="94" spans="1:6" ht="15">
      <c r="A94" s="156"/>
      <c r="B94" s="156"/>
      <c r="C94" s="156"/>
      <c r="D94" s="156"/>
      <c r="E94" s="410"/>
      <c r="F94" s="156"/>
    </row>
    <row r="95" spans="1:6" ht="15">
      <c r="A95" s="156"/>
      <c r="B95" s="156"/>
      <c r="C95" s="156"/>
      <c r="D95" s="156"/>
      <c r="E95" s="410"/>
      <c r="F95" s="156"/>
    </row>
  </sheetData>
  <sheetProtection/>
  <dataValidations count="1">
    <dataValidation type="list" allowBlank="1" showInputMessage="1" showErrorMessage="1" sqref="K9:K12 K16:K19 K23:K24 K28:K29 K33:K34 K38:K40 K45:K50">
      <formula1>Comptable</formula1>
    </dataValidation>
  </dataValidations>
  <printOptions/>
  <pageMargins left="0.4724409448818898" right="0.4330708661417323" top="0.3937007874015748" bottom="0.3937007874015748" header="0.5118110236220472" footer="0.5118110236220472"/>
  <pageSetup blackAndWhite="1" orientation="portrait" paperSize="9" r:id="rId3"/>
  <headerFooter alignWithMargins="0">
    <oddFooter>&amp;R&amp;D</oddFooter>
  </headerFooter>
  <legacyDrawing r:id="rId2"/>
</worksheet>
</file>

<file path=xl/worksheets/sheet3.xml><?xml version="1.0" encoding="utf-8"?>
<worksheet xmlns="http://schemas.openxmlformats.org/spreadsheetml/2006/main" xmlns:r="http://schemas.openxmlformats.org/officeDocument/2006/relationships">
  <sheetPr>
    <tabColor rgb="FF92D050"/>
  </sheetPr>
  <dimension ref="A1:AY172"/>
  <sheetViews>
    <sheetView showGridLines="0" zoomScalePageLayoutView="0" workbookViewId="0" topLeftCell="A1">
      <selection activeCell="F3" sqref="F3"/>
    </sheetView>
  </sheetViews>
  <sheetFormatPr defaultColWidth="11.421875" defaultRowHeight="12.75"/>
  <cols>
    <col min="1" max="1" width="7.8515625" style="0" customWidth="1"/>
    <col min="2" max="2" width="20.8515625" style="0" customWidth="1"/>
    <col min="3" max="3" width="13.421875" style="0" bestFit="1" customWidth="1"/>
    <col min="4" max="4" width="13.421875" style="0" customWidth="1"/>
    <col min="5" max="5" width="14.00390625" style="0" customWidth="1"/>
    <col min="6" max="6" width="12.00390625" style="0" bestFit="1" customWidth="1"/>
    <col min="7" max="7" width="11.421875" style="0" customWidth="1"/>
    <col min="9" max="9" width="0.42578125" style="51" customWidth="1"/>
    <col min="10" max="10" width="38.7109375" style="0" customWidth="1"/>
    <col min="11" max="15" width="12.8515625" style="0" customWidth="1"/>
    <col min="16" max="16" width="12.8515625" style="156" customWidth="1"/>
    <col min="17" max="25" width="12.8515625" style="0" customWidth="1"/>
    <col min="26" max="37" width="8.8515625" style="0" hidden="1" customWidth="1"/>
    <col min="38" max="38" width="9.8515625" style="0" hidden="1" customWidth="1"/>
    <col min="39" max="46" width="8.8515625" style="0" hidden="1" customWidth="1"/>
    <col min="47" max="47" width="12.8515625" style="0" hidden="1" customWidth="1"/>
    <col min="48" max="48" width="12.00390625" style="0" hidden="1" customWidth="1"/>
    <col min="49" max="49" width="11.140625" style="0" hidden="1" customWidth="1"/>
    <col min="50" max="51" width="10.8515625" style="0" hidden="1" customWidth="1"/>
    <col min="52" max="52" width="10.8515625" style="0" customWidth="1"/>
  </cols>
  <sheetData>
    <row r="1" spans="1:32" ht="18" customHeight="1">
      <c r="A1" s="9" t="s">
        <v>438</v>
      </c>
      <c r="B1" s="11"/>
      <c r="C1" s="10"/>
      <c r="D1" s="11"/>
      <c r="E1" s="11"/>
      <c r="F1" s="11"/>
      <c r="G1" s="11"/>
      <c r="H1" s="54">
        <f>Copropriété!J1</f>
        <v>0</v>
      </c>
      <c r="I1" s="50"/>
      <c r="J1" s="9" t="s">
        <v>438</v>
      </c>
      <c r="L1" s="11"/>
      <c r="M1" s="10"/>
      <c r="N1" s="11"/>
      <c r="O1" s="11"/>
      <c r="P1" s="54">
        <f>H1</f>
        <v>0</v>
      </c>
      <c r="Q1" s="9" t="s">
        <v>438</v>
      </c>
      <c r="R1" s="10"/>
      <c r="S1" s="10"/>
      <c r="T1" s="10"/>
      <c r="U1" s="11"/>
      <c r="V1" s="11"/>
      <c r="W1" s="11"/>
      <c r="X1" s="11"/>
      <c r="Y1" s="54">
        <f>H1</f>
        <v>0</v>
      </c>
      <c r="Z1" s="9" t="s">
        <v>438</v>
      </c>
      <c r="AA1" s="10"/>
      <c r="AB1" s="10"/>
      <c r="AC1" s="10"/>
      <c r="AD1" s="11"/>
      <c r="AE1" s="11"/>
      <c r="AF1" s="54"/>
    </row>
    <row r="2" spans="1:32" ht="18" customHeight="1">
      <c r="A2" s="11"/>
      <c r="B2" s="11"/>
      <c r="C2" s="10"/>
      <c r="D2" s="11"/>
      <c r="E2" s="11"/>
      <c r="F2" s="11"/>
      <c r="G2" s="11"/>
      <c r="H2" s="54">
        <f>Copropriété!J2</f>
        <v>0</v>
      </c>
      <c r="I2" s="50"/>
      <c r="J2" s="11"/>
      <c r="K2" s="11"/>
      <c r="L2" s="11"/>
      <c r="M2" s="10"/>
      <c r="N2" s="11"/>
      <c r="O2" s="11"/>
      <c r="P2" s="54">
        <f>H2</f>
        <v>0</v>
      </c>
      <c r="Q2" s="54"/>
      <c r="R2" s="10"/>
      <c r="S2" s="10"/>
      <c r="T2" s="10"/>
      <c r="U2" s="11"/>
      <c r="V2" s="11"/>
      <c r="W2" s="11"/>
      <c r="X2" s="11"/>
      <c r="Y2" s="54">
        <f>H2</f>
        <v>0</v>
      </c>
      <c r="Z2" s="11"/>
      <c r="AA2" s="10"/>
      <c r="AB2" s="10"/>
      <c r="AC2" s="10"/>
      <c r="AD2" s="11"/>
      <c r="AE2" s="11"/>
      <c r="AF2" s="54"/>
    </row>
    <row r="3" spans="1:32" ht="18" customHeight="1">
      <c r="A3" s="62" t="str">
        <f>Copropriété!A2</f>
        <v>Exercice 2015</v>
      </c>
      <c r="B3" s="11"/>
      <c r="C3" s="10"/>
      <c r="D3" s="11"/>
      <c r="E3" s="11"/>
      <c r="F3" s="11"/>
      <c r="G3" s="11"/>
      <c r="H3" s="11"/>
      <c r="I3" s="50"/>
      <c r="J3" s="62" t="str">
        <f>A3</f>
        <v>Exercice 2015</v>
      </c>
      <c r="K3" s="11"/>
      <c r="L3" s="11"/>
      <c r="M3" s="11"/>
      <c r="N3" s="11"/>
      <c r="O3" s="11"/>
      <c r="P3" s="11"/>
      <c r="Q3" s="10" t="str">
        <f>A3</f>
        <v>Exercice 2015</v>
      </c>
      <c r="R3" s="10"/>
      <c r="S3" s="11"/>
      <c r="T3" s="10"/>
      <c r="U3" s="11"/>
      <c r="V3" s="11"/>
      <c r="W3" s="11"/>
      <c r="X3" s="11"/>
      <c r="Y3" s="11"/>
      <c r="Z3" s="62" t="str">
        <f>A3</f>
        <v>Exercice 2015</v>
      </c>
      <c r="AA3" s="10"/>
      <c r="AB3" s="11"/>
      <c r="AC3" s="10"/>
      <c r="AD3" s="11"/>
      <c r="AE3" s="11"/>
      <c r="AF3" s="11"/>
    </row>
    <row r="4" spans="1:32" ht="18" customHeight="1">
      <c r="A4" s="62" t="s">
        <v>318</v>
      </c>
      <c r="B4" s="11"/>
      <c r="C4" s="63"/>
      <c r="D4" s="11"/>
      <c r="E4" s="11"/>
      <c r="F4" s="11"/>
      <c r="G4" s="11"/>
      <c r="I4" s="50"/>
      <c r="J4" s="62" t="s">
        <v>318</v>
      </c>
      <c r="K4" s="11"/>
      <c r="L4" s="11"/>
      <c r="M4" s="11"/>
      <c r="N4" s="11"/>
      <c r="O4" s="11"/>
      <c r="P4" s="11"/>
      <c r="Q4" s="62" t="s">
        <v>318</v>
      </c>
      <c r="R4" s="11"/>
      <c r="S4" s="11"/>
      <c r="T4" s="11"/>
      <c r="U4" s="11"/>
      <c r="V4" s="11"/>
      <c r="W4" s="11"/>
      <c r="X4" s="11"/>
      <c r="Y4" s="54"/>
      <c r="Z4" s="62" t="s">
        <v>318</v>
      </c>
      <c r="AA4" s="11"/>
      <c r="AB4" s="11"/>
      <c r="AC4" s="11"/>
      <c r="AD4" s="11"/>
      <c r="AE4" s="11"/>
      <c r="AF4" s="54"/>
    </row>
    <row r="5" spans="4:32" ht="18" customHeight="1">
      <c r="D5" s="54"/>
      <c r="E5" s="54" t="s">
        <v>82</v>
      </c>
      <c r="F5" s="201">
        <v>0</v>
      </c>
      <c r="G5" s="68">
        <f>'Comptes Lots'!B4+'Comptes Lots'!B27+'Comptes Lots'!B50+'Comptes Lots'!B73+'Comptes Lots'!B96+'Comptes Lots'!B119+'Comptes Lots'!B142+'Comptes Lots'!B165</f>
        <v>0</v>
      </c>
      <c r="H5" s="68">
        <f>'Comptes Lots'!I4+'Comptes Lots'!I27+'Comptes Lots'!I50+'Comptes Lots'!I73+'Comptes Lots'!I96+'Comptes Lots'!I119+'Comptes Lots'!I142+'Comptes Lots'!I165</f>
        <v>0</v>
      </c>
      <c r="O5" s="11"/>
      <c r="P5" s="11"/>
      <c r="Q5" s="11"/>
      <c r="Y5" s="11"/>
      <c r="AF5" s="11"/>
    </row>
    <row r="6" spans="1:51" ht="18" customHeight="1">
      <c r="A6" s="39" t="s">
        <v>369</v>
      </c>
      <c r="B6" s="15"/>
      <c r="C6" s="15"/>
      <c r="D6" s="39"/>
      <c r="E6" s="39"/>
      <c r="F6" s="39" t="s">
        <v>324</v>
      </c>
      <c r="G6" s="15"/>
      <c r="H6" s="15"/>
      <c r="I6" s="52"/>
      <c r="J6" s="39" t="s">
        <v>369</v>
      </c>
      <c r="K6" s="39" t="s">
        <v>116</v>
      </c>
      <c r="L6" s="39"/>
      <c r="M6" s="15"/>
      <c r="N6" s="15"/>
      <c r="O6" s="14"/>
      <c r="P6" s="14"/>
      <c r="Q6" s="16"/>
      <c r="R6" s="39" t="s">
        <v>346</v>
      </c>
      <c r="S6" s="15"/>
      <c r="T6" s="15"/>
      <c r="U6" s="15"/>
      <c r="V6" s="14"/>
      <c r="W6" s="14"/>
      <c r="X6" s="14"/>
      <c r="Y6" s="16"/>
      <c r="Z6" s="127" t="s">
        <v>134</v>
      </c>
      <c r="AA6" s="128" t="s">
        <v>70</v>
      </c>
      <c r="AB6" s="103"/>
      <c r="AC6" s="103"/>
      <c r="AD6" s="103"/>
      <c r="AE6" s="129"/>
      <c r="AF6" s="129"/>
      <c r="AG6" s="92"/>
      <c r="AH6" s="92"/>
      <c r="AI6" s="92"/>
      <c r="AJ6" s="92"/>
      <c r="AK6" s="92"/>
      <c r="AL6" s="92"/>
      <c r="AM6" s="92"/>
      <c r="AN6" s="92"/>
      <c r="AO6" s="92"/>
      <c r="AP6" s="92"/>
      <c r="AQ6" s="92"/>
      <c r="AR6" s="92"/>
      <c r="AS6" s="92"/>
      <c r="AT6" s="95"/>
      <c r="AX6" s="93" t="s">
        <v>221</v>
      </c>
      <c r="AY6" s="93"/>
    </row>
    <row r="7" spans="1:51" ht="18" customHeight="1">
      <c r="A7" s="19" t="s">
        <v>292</v>
      </c>
      <c r="B7" s="19" t="s">
        <v>305</v>
      </c>
      <c r="C7" s="19" t="s">
        <v>320</v>
      </c>
      <c r="D7" s="35" t="s">
        <v>118</v>
      </c>
      <c r="E7" s="35" t="s">
        <v>326</v>
      </c>
      <c r="F7" s="35" t="s">
        <v>321</v>
      </c>
      <c r="G7" s="48" t="s">
        <v>323</v>
      </c>
      <c r="H7" s="43" t="s">
        <v>322</v>
      </c>
      <c r="I7" s="52"/>
      <c r="J7" s="19" t="s">
        <v>134</v>
      </c>
      <c r="K7" s="19" t="str">
        <f>Copropriété!D4</f>
        <v>Générales</v>
      </c>
      <c r="L7" s="19" t="str">
        <f>Copropriété!E4</f>
        <v>Escalier</v>
      </c>
      <c r="M7" s="19" t="str">
        <f>Copropriété!F4</f>
        <v>Eau</v>
      </c>
      <c r="N7" s="19" t="str">
        <f>Copropriété!G4</f>
        <v>Charge1</v>
      </c>
      <c r="O7" s="34" t="str">
        <f>Copropriété!H4</f>
        <v>Charge2</v>
      </c>
      <c r="P7" s="34" t="str">
        <f>Copropriété!I4</f>
        <v>Travaux</v>
      </c>
      <c r="Q7" s="19" t="str">
        <f>Copropriété!J4</f>
        <v>Provision</v>
      </c>
      <c r="R7" s="19" t="s">
        <v>52</v>
      </c>
      <c r="S7" s="19" t="s">
        <v>408</v>
      </c>
      <c r="T7" s="19" t="s">
        <v>53</v>
      </c>
      <c r="U7" s="19" t="s">
        <v>300</v>
      </c>
      <c r="V7" s="13" t="s">
        <v>209</v>
      </c>
      <c r="W7" s="13" t="s">
        <v>469</v>
      </c>
      <c r="X7" s="13" t="s">
        <v>470</v>
      </c>
      <c r="Y7" s="34" t="s">
        <v>43</v>
      </c>
      <c r="Z7" s="130">
        <v>60</v>
      </c>
      <c r="AA7" s="130">
        <v>61</v>
      </c>
      <c r="AB7" s="130">
        <v>62</v>
      </c>
      <c r="AC7" s="130">
        <v>63</v>
      </c>
      <c r="AD7" s="130">
        <v>64</v>
      </c>
      <c r="AE7" s="131">
        <v>66</v>
      </c>
      <c r="AF7" s="132">
        <v>661</v>
      </c>
      <c r="AG7" s="138">
        <v>671</v>
      </c>
      <c r="AH7" s="132">
        <v>672</v>
      </c>
      <c r="AI7" s="132">
        <v>673</v>
      </c>
      <c r="AJ7" s="132">
        <v>677</v>
      </c>
      <c r="AK7" s="132">
        <v>68</v>
      </c>
      <c r="AL7" s="132">
        <v>701</v>
      </c>
      <c r="AM7" s="132">
        <v>702</v>
      </c>
      <c r="AN7" s="132">
        <v>703</v>
      </c>
      <c r="AO7" s="132">
        <v>704</v>
      </c>
      <c r="AP7" s="132">
        <v>711</v>
      </c>
      <c r="AQ7" s="132">
        <v>712</v>
      </c>
      <c r="AR7" s="132">
        <v>713</v>
      </c>
      <c r="AS7" s="132">
        <v>714</v>
      </c>
      <c r="AT7" s="130">
        <v>78</v>
      </c>
      <c r="AX7" s="93" t="s">
        <v>442</v>
      </c>
      <c r="AY7" s="93" t="s">
        <v>303</v>
      </c>
    </row>
    <row r="8" spans="1:51" ht="18" customHeight="1">
      <c r="A8" s="339"/>
      <c r="B8" s="202"/>
      <c r="C8" s="346"/>
      <c r="D8" s="203"/>
      <c r="E8" s="325"/>
      <c r="F8" s="204"/>
      <c r="G8" s="45"/>
      <c r="H8" s="45"/>
      <c r="I8" s="53"/>
      <c r="J8" s="200"/>
      <c r="K8" s="60">
        <f aca="true" t="shared" si="0" ref="K8:K16">IF(D8="Générales",C8,"")</f>
      </c>
      <c r="L8" s="60">
        <f aca="true" t="shared" si="1" ref="L8:L16">IF(D8="Escalier",C8,"")</f>
      </c>
      <c r="M8" s="60">
        <f aca="true" t="shared" si="2" ref="M8:M16">IF(D8="Eau",C8,"")</f>
      </c>
      <c r="N8" s="60">
        <f aca="true" t="shared" si="3" ref="N8:N16">IF(D8="Spéciales1",C8,"")</f>
      </c>
      <c r="O8" s="60">
        <f>IF(D8="Spéciales2",C8,"")</f>
      </c>
      <c r="P8" s="60">
        <f aca="true" t="shared" si="4" ref="P8:P16">IF(D8="Travaux",C8,"")</f>
      </c>
      <c r="Q8" s="60">
        <f aca="true" t="shared" si="5" ref="Q8:Q16">IF(D8="Provision",C8,"")</f>
      </c>
      <c r="R8" s="60">
        <f>IF(D8="Lot n°1",C8,"")</f>
      </c>
      <c r="S8" s="60">
        <f aca="true" t="shared" si="6" ref="S8:S16">IF(D8="Lot n°2",C8,"")</f>
      </c>
      <c r="T8" s="60">
        <f aca="true" t="shared" si="7" ref="T8:T16">IF(D8="Lot n°3",C8,"")</f>
      </c>
      <c r="U8" s="60">
        <f aca="true" t="shared" si="8" ref="U8:U16">IF(D8="Lot n°4",C8,"")</f>
      </c>
      <c r="V8" s="61">
        <f>IF(D8="Lot n°5",C8,"")</f>
      </c>
      <c r="W8" s="61">
        <f>IF(D8="Lot n°6",C8,"")</f>
      </c>
      <c r="X8" s="61">
        <f>IF(D8="Lot n°7",C8,"")</f>
      </c>
      <c r="Y8" s="60">
        <f>IF(D8="Lot n°M",C8,"")</f>
      </c>
      <c r="Z8" s="137">
        <f aca="true" t="shared" si="9" ref="Z8:Z16">IF(J8="60 Achat de matières et fournitures",C8,"")</f>
      </c>
      <c r="AA8" s="135">
        <f aca="true" t="shared" si="10" ref="AA8:AA16">IF(J8="61 Services extérieurs",C8,"")</f>
      </c>
      <c r="AB8" s="135">
        <f aca="true" t="shared" si="11" ref="AB8:AB16">IF(J8="62 Frais d'administration et honoraires",C8,"")</f>
      </c>
      <c r="AC8" s="135">
        <f aca="true" t="shared" si="12" ref="AC8:AC16">IF(J8="63 Impôts - taxes et versements assimilés",C8,"")</f>
      </c>
      <c r="AD8" s="135">
        <f aca="true" t="shared" si="13" ref="AD8:AD16">IF(J8="64 Frais de personnel",C8,"")</f>
      </c>
      <c r="AE8" s="136">
        <f aca="true" t="shared" si="14" ref="AE8:AE16">IF(J8="66 Charges financières des emprunts, agios",C8,"")</f>
      </c>
      <c r="AF8" s="135">
        <f aca="true" t="shared" si="15" ref="AF8:AF16">IF(J8="661 Rembourcement d'annuités d'emprunt",C8,"")</f>
      </c>
      <c r="AG8" s="123">
        <f aca="true" t="shared" si="16" ref="AG8:AG16">IF(J8="671 Travaux décidés par l'AG",C8,"")</f>
      </c>
      <c r="AH8" s="123">
        <f aca="true" t="shared" si="17" ref="AH8:AH16">IF(J8="672 Travaux urgents",C8,"")</f>
      </c>
      <c r="AI8" s="123">
        <f aca="true" t="shared" si="18" ref="AI8:AI16">IF(J8="673 Etudes techniques, diagnostic",C8,"")</f>
      </c>
      <c r="AJ8" s="123">
        <f aca="true" t="shared" si="19" ref="AJ8:AJ16">IF(J8="677 Pertes sur créances irrécouvrables",C8,"")</f>
      </c>
      <c r="AK8" s="123">
        <f aca="true" t="shared" si="20" ref="AK8:AK16">IF(J8="68 Dotations aux dépréciations sur créances douteuses",C8,"")</f>
      </c>
      <c r="AL8" s="123">
        <f aca="true" t="shared" si="21" ref="AL8:AL16">IF(J8="701 Provisions sur opérations courantes",C8,"")</f>
      </c>
      <c r="AM8" s="123">
        <f aca="true" t="shared" si="22" ref="AM8:AM16">IF(J8="702 Provisions pour travaux",C8,"")</f>
      </c>
      <c r="AN8" s="123">
        <f aca="true" t="shared" si="23" ref="AN8:AN16">IF(J8="703 Avances",C8,"")</f>
      </c>
      <c r="AO8" s="123">
        <f aca="true" t="shared" si="24" ref="AO8:AO16">IF(J8="704 Rembourcement d'emprunt",C8,"")</f>
      </c>
      <c r="AP8" s="123">
        <f aca="true" t="shared" si="25" ref="AP8:AP16">IF(J8="711 Subventions sur travaux",C8,"")</f>
      </c>
      <c r="AQ8" s="123">
        <f aca="true" t="shared" si="26" ref="AQ8:AQ16">IF(J8="712 Emprunts",C8,"")</f>
      </c>
      <c r="AR8" s="123">
        <f aca="true" t="shared" si="27" ref="AR8:AR16">IF(J8="713 Indemnités d'assurances",C8,"")</f>
      </c>
      <c r="AS8" s="123">
        <f aca="true" t="shared" si="28" ref="AS8:AS16">IF(J8="714 Produits divers",C8,"")</f>
      </c>
      <c r="AT8" s="93">
        <f aca="true" t="shared" si="29" ref="AT8:AT16">IF(J8="78 Reprises de dépréciations sur créance",C8,"")</f>
      </c>
      <c r="AW8" s="216"/>
      <c r="AX8" s="328">
        <f aca="true" t="shared" si="30" ref="AX8:AX16">IF(E8="Locataires",K8,"")</f>
      </c>
      <c r="AY8" s="328">
        <f aca="true" t="shared" si="31" ref="AY8:AY16">IF(E8="Locataires",L8,"")</f>
      </c>
    </row>
    <row r="9" spans="1:51" ht="18" customHeight="1">
      <c r="A9" s="339"/>
      <c r="B9" s="202"/>
      <c r="C9" s="346"/>
      <c r="D9" s="203"/>
      <c r="E9" s="325"/>
      <c r="F9" s="205"/>
      <c r="G9" s="46"/>
      <c r="H9" s="46"/>
      <c r="I9" s="53"/>
      <c r="J9" s="200"/>
      <c r="K9" s="60">
        <f t="shared" si="0"/>
      </c>
      <c r="L9" s="60">
        <f t="shared" si="1"/>
      </c>
      <c r="M9" s="60">
        <f t="shared" si="2"/>
      </c>
      <c r="N9" s="60">
        <f t="shared" si="3"/>
      </c>
      <c r="O9" s="60">
        <f aca="true" t="shared" si="32" ref="O9:O16">IF(D9="Spéciales2",C9,"")</f>
      </c>
      <c r="P9" s="60">
        <f t="shared" si="4"/>
      </c>
      <c r="Q9" s="60">
        <f t="shared" si="5"/>
      </c>
      <c r="R9" s="60">
        <f>IF(D9="Lot n°1",C9,"")</f>
      </c>
      <c r="S9" s="60">
        <f t="shared" si="6"/>
      </c>
      <c r="T9" s="60">
        <f t="shared" si="7"/>
      </c>
      <c r="U9" s="60">
        <f t="shared" si="8"/>
      </c>
      <c r="V9" s="61">
        <f aca="true" t="shared" si="33" ref="V9:V16">IF(D9="Lot n°5",C9,"")</f>
      </c>
      <c r="W9" s="61">
        <f aca="true" t="shared" si="34" ref="W9:W16">IF(D9="Lot n°6",C9,"")</f>
      </c>
      <c r="X9" s="61">
        <f aca="true" t="shared" si="35" ref="X9:X16">IF(D9="Lot n°7",C9,"")</f>
      </c>
      <c r="Y9" s="60">
        <f aca="true" t="shared" si="36" ref="Y9:Y16">IF(D9="Lot n°M",C9,"")</f>
      </c>
      <c r="Z9" s="137">
        <f t="shared" si="9"/>
      </c>
      <c r="AA9" s="135">
        <f t="shared" si="10"/>
      </c>
      <c r="AB9" s="135">
        <f t="shared" si="11"/>
      </c>
      <c r="AC9" s="135">
        <f t="shared" si="12"/>
      </c>
      <c r="AD9" s="135">
        <f t="shared" si="13"/>
      </c>
      <c r="AE9" s="136">
        <f t="shared" si="14"/>
      </c>
      <c r="AF9" s="135">
        <f t="shared" si="15"/>
      </c>
      <c r="AG9" s="123">
        <f t="shared" si="16"/>
      </c>
      <c r="AH9" s="123">
        <f t="shared" si="17"/>
      </c>
      <c r="AI9" s="123">
        <f t="shared" si="18"/>
      </c>
      <c r="AJ9" s="123">
        <f t="shared" si="19"/>
      </c>
      <c r="AK9" s="123">
        <f t="shared" si="20"/>
      </c>
      <c r="AL9" s="123">
        <f t="shared" si="21"/>
      </c>
      <c r="AM9" s="123">
        <f t="shared" si="22"/>
      </c>
      <c r="AN9" s="123">
        <f t="shared" si="23"/>
      </c>
      <c r="AO9" s="123">
        <f t="shared" si="24"/>
      </c>
      <c r="AP9" s="123">
        <f t="shared" si="25"/>
      </c>
      <c r="AQ9" s="123">
        <f t="shared" si="26"/>
      </c>
      <c r="AR9" s="123">
        <f t="shared" si="27"/>
      </c>
      <c r="AS9" s="123">
        <f t="shared" si="28"/>
      </c>
      <c r="AT9" s="93">
        <f t="shared" si="29"/>
      </c>
      <c r="AW9" s="216"/>
      <c r="AX9" s="328">
        <f t="shared" si="30"/>
      </c>
      <c r="AY9" s="328">
        <f t="shared" si="31"/>
      </c>
    </row>
    <row r="10" spans="1:51" ht="18" customHeight="1">
      <c r="A10" s="339"/>
      <c r="B10" s="202"/>
      <c r="C10" s="346"/>
      <c r="D10" s="203"/>
      <c r="E10" s="325"/>
      <c r="F10" s="205"/>
      <c r="G10" s="46"/>
      <c r="H10" s="46"/>
      <c r="I10" s="53"/>
      <c r="J10" s="200"/>
      <c r="K10" s="60">
        <f t="shared" si="0"/>
      </c>
      <c r="L10" s="60">
        <f t="shared" si="1"/>
      </c>
      <c r="M10" s="60">
        <f t="shared" si="2"/>
      </c>
      <c r="N10" s="60">
        <f t="shared" si="3"/>
      </c>
      <c r="O10" s="60">
        <f t="shared" si="32"/>
      </c>
      <c r="P10" s="60">
        <f t="shared" si="4"/>
      </c>
      <c r="Q10" s="60">
        <f t="shared" si="5"/>
      </c>
      <c r="R10" s="60">
        <f aca="true" t="shared" si="37" ref="R10:R16">IF(D10="Lot n°1",C10,"")</f>
      </c>
      <c r="S10" s="60">
        <f t="shared" si="6"/>
      </c>
      <c r="T10" s="60">
        <f t="shared" si="7"/>
      </c>
      <c r="U10" s="60">
        <f t="shared" si="8"/>
      </c>
      <c r="V10" s="61">
        <f t="shared" si="33"/>
      </c>
      <c r="W10" s="61">
        <f t="shared" si="34"/>
      </c>
      <c r="X10" s="61">
        <f t="shared" si="35"/>
      </c>
      <c r="Y10" s="60">
        <f t="shared" si="36"/>
      </c>
      <c r="Z10" s="137">
        <f t="shared" si="9"/>
      </c>
      <c r="AA10" s="135">
        <f t="shared" si="10"/>
      </c>
      <c r="AB10" s="135">
        <f t="shared" si="11"/>
      </c>
      <c r="AC10" s="135">
        <f t="shared" si="12"/>
      </c>
      <c r="AD10" s="135">
        <f t="shared" si="13"/>
      </c>
      <c r="AE10" s="136">
        <f t="shared" si="14"/>
      </c>
      <c r="AF10" s="135">
        <f t="shared" si="15"/>
      </c>
      <c r="AG10" s="123">
        <f t="shared" si="16"/>
      </c>
      <c r="AH10" s="123">
        <f t="shared" si="17"/>
      </c>
      <c r="AI10" s="123">
        <f t="shared" si="18"/>
      </c>
      <c r="AJ10" s="123">
        <f t="shared" si="19"/>
      </c>
      <c r="AK10" s="123">
        <f t="shared" si="20"/>
      </c>
      <c r="AL10" s="123">
        <f t="shared" si="21"/>
      </c>
      <c r="AM10" s="123">
        <f t="shared" si="22"/>
      </c>
      <c r="AN10" s="123">
        <f t="shared" si="23"/>
      </c>
      <c r="AO10" s="123">
        <f t="shared" si="24"/>
      </c>
      <c r="AP10" s="123">
        <f t="shared" si="25"/>
      </c>
      <c r="AQ10" s="123">
        <f t="shared" si="26"/>
      </c>
      <c r="AR10" s="123">
        <f t="shared" si="27"/>
      </c>
      <c r="AS10" s="123">
        <f t="shared" si="28"/>
      </c>
      <c r="AT10" s="93">
        <f t="shared" si="29"/>
      </c>
      <c r="AW10" s="216"/>
      <c r="AX10" s="328">
        <f t="shared" si="30"/>
      </c>
      <c r="AY10" s="328">
        <f t="shared" si="31"/>
      </c>
    </row>
    <row r="11" spans="1:51" ht="18" customHeight="1">
      <c r="A11" s="339"/>
      <c r="B11" s="202"/>
      <c r="C11" s="346"/>
      <c r="D11" s="203"/>
      <c r="E11" s="325"/>
      <c r="F11" s="205"/>
      <c r="G11" s="46"/>
      <c r="H11" s="46"/>
      <c r="I11" s="53"/>
      <c r="J11" s="200"/>
      <c r="K11" s="60">
        <f t="shared" si="0"/>
      </c>
      <c r="L11" s="60">
        <f t="shared" si="1"/>
      </c>
      <c r="M11" s="60">
        <f t="shared" si="2"/>
      </c>
      <c r="N11" s="60">
        <f t="shared" si="3"/>
      </c>
      <c r="O11" s="60">
        <f t="shared" si="32"/>
      </c>
      <c r="P11" s="60">
        <f t="shared" si="4"/>
      </c>
      <c r="Q11" s="60">
        <f t="shared" si="5"/>
      </c>
      <c r="R11" s="60">
        <f t="shared" si="37"/>
      </c>
      <c r="S11" s="60">
        <f t="shared" si="6"/>
      </c>
      <c r="T11" s="60">
        <f t="shared" si="7"/>
      </c>
      <c r="U11" s="60">
        <f t="shared" si="8"/>
      </c>
      <c r="V11" s="61">
        <f t="shared" si="33"/>
      </c>
      <c r="W11" s="61">
        <f t="shared" si="34"/>
      </c>
      <c r="X11" s="61">
        <f t="shared" si="35"/>
      </c>
      <c r="Y11" s="60">
        <f t="shared" si="36"/>
      </c>
      <c r="Z11" s="137">
        <f t="shared" si="9"/>
      </c>
      <c r="AA11" s="135">
        <f t="shared" si="10"/>
      </c>
      <c r="AB11" s="135">
        <f t="shared" si="11"/>
      </c>
      <c r="AC11" s="135">
        <f t="shared" si="12"/>
      </c>
      <c r="AD11" s="135">
        <f t="shared" si="13"/>
      </c>
      <c r="AE11" s="136">
        <f t="shared" si="14"/>
      </c>
      <c r="AF11" s="135">
        <f t="shared" si="15"/>
      </c>
      <c r="AG11" s="123">
        <f t="shared" si="16"/>
      </c>
      <c r="AH11" s="123">
        <f t="shared" si="17"/>
      </c>
      <c r="AI11" s="123">
        <f t="shared" si="18"/>
      </c>
      <c r="AJ11" s="123">
        <f t="shared" si="19"/>
      </c>
      <c r="AK11" s="123">
        <f t="shared" si="20"/>
      </c>
      <c r="AL11" s="123">
        <f t="shared" si="21"/>
      </c>
      <c r="AM11" s="123">
        <f t="shared" si="22"/>
      </c>
      <c r="AN11" s="123">
        <f t="shared" si="23"/>
      </c>
      <c r="AO11" s="123">
        <f t="shared" si="24"/>
      </c>
      <c r="AP11" s="123">
        <f t="shared" si="25"/>
      </c>
      <c r="AQ11" s="123">
        <f t="shared" si="26"/>
      </c>
      <c r="AR11" s="123">
        <f t="shared" si="27"/>
      </c>
      <c r="AS11" s="123">
        <f t="shared" si="28"/>
      </c>
      <c r="AT11" s="93">
        <f t="shared" si="29"/>
      </c>
      <c r="AW11" s="216"/>
      <c r="AX11" s="328">
        <f t="shared" si="30"/>
      </c>
      <c r="AY11" s="328">
        <f t="shared" si="31"/>
      </c>
    </row>
    <row r="12" spans="1:51" ht="18" customHeight="1">
      <c r="A12" s="339"/>
      <c r="B12" s="202"/>
      <c r="C12" s="346"/>
      <c r="D12" s="203"/>
      <c r="E12" s="325"/>
      <c r="F12" s="205"/>
      <c r="G12" s="46"/>
      <c r="H12" s="46"/>
      <c r="I12" s="53"/>
      <c r="J12" s="200"/>
      <c r="K12" s="60">
        <f t="shared" si="0"/>
      </c>
      <c r="L12" s="60">
        <f t="shared" si="1"/>
      </c>
      <c r="M12" s="60">
        <f t="shared" si="2"/>
      </c>
      <c r="N12" s="60">
        <f t="shared" si="3"/>
      </c>
      <c r="O12" s="60">
        <f t="shared" si="32"/>
      </c>
      <c r="P12" s="60">
        <f t="shared" si="4"/>
      </c>
      <c r="Q12" s="60">
        <f t="shared" si="5"/>
      </c>
      <c r="R12" s="60">
        <f t="shared" si="37"/>
      </c>
      <c r="S12" s="60">
        <f t="shared" si="6"/>
      </c>
      <c r="T12" s="60">
        <f t="shared" si="7"/>
      </c>
      <c r="U12" s="60">
        <f t="shared" si="8"/>
      </c>
      <c r="V12" s="61">
        <f t="shared" si="33"/>
      </c>
      <c r="W12" s="61">
        <f t="shared" si="34"/>
      </c>
      <c r="X12" s="61">
        <f t="shared" si="35"/>
      </c>
      <c r="Y12" s="60">
        <f t="shared" si="36"/>
      </c>
      <c r="Z12" s="137">
        <f t="shared" si="9"/>
      </c>
      <c r="AA12" s="135">
        <f t="shared" si="10"/>
      </c>
      <c r="AB12" s="135">
        <f t="shared" si="11"/>
      </c>
      <c r="AC12" s="135">
        <f t="shared" si="12"/>
      </c>
      <c r="AD12" s="135">
        <f t="shared" si="13"/>
      </c>
      <c r="AE12" s="136">
        <f t="shared" si="14"/>
      </c>
      <c r="AF12" s="135">
        <f t="shared" si="15"/>
      </c>
      <c r="AG12" s="123">
        <f t="shared" si="16"/>
      </c>
      <c r="AH12" s="123">
        <f t="shared" si="17"/>
      </c>
      <c r="AI12" s="123">
        <f t="shared" si="18"/>
      </c>
      <c r="AJ12" s="123">
        <f t="shared" si="19"/>
      </c>
      <c r="AK12" s="123">
        <f t="shared" si="20"/>
      </c>
      <c r="AL12" s="123">
        <f t="shared" si="21"/>
      </c>
      <c r="AM12" s="123">
        <f t="shared" si="22"/>
      </c>
      <c r="AN12" s="123">
        <f t="shared" si="23"/>
      </c>
      <c r="AO12" s="123">
        <f t="shared" si="24"/>
      </c>
      <c r="AP12" s="123">
        <f t="shared" si="25"/>
      </c>
      <c r="AQ12" s="123">
        <f t="shared" si="26"/>
      </c>
      <c r="AR12" s="123">
        <f t="shared" si="27"/>
      </c>
      <c r="AS12" s="123">
        <f t="shared" si="28"/>
      </c>
      <c r="AT12" s="93">
        <f t="shared" si="29"/>
      </c>
      <c r="AW12" s="216"/>
      <c r="AX12" s="328">
        <f t="shared" si="30"/>
      </c>
      <c r="AY12" s="328">
        <f t="shared" si="31"/>
      </c>
    </row>
    <row r="13" spans="1:51" ht="18" customHeight="1">
      <c r="A13" s="339"/>
      <c r="B13" s="202"/>
      <c r="C13" s="346"/>
      <c r="D13" s="203"/>
      <c r="E13" s="325"/>
      <c r="F13" s="205"/>
      <c r="G13" s="46"/>
      <c r="H13" s="46"/>
      <c r="I13" s="53"/>
      <c r="J13" s="200"/>
      <c r="K13" s="60">
        <f t="shared" si="0"/>
      </c>
      <c r="L13" s="60">
        <f t="shared" si="1"/>
      </c>
      <c r="M13" s="60">
        <f t="shared" si="2"/>
      </c>
      <c r="N13" s="60">
        <f t="shared" si="3"/>
      </c>
      <c r="O13" s="60">
        <f t="shared" si="32"/>
      </c>
      <c r="P13" s="60">
        <f t="shared" si="4"/>
      </c>
      <c r="Q13" s="60">
        <f t="shared" si="5"/>
      </c>
      <c r="R13" s="60">
        <f t="shared" si="37"/>
      </c>
      <c r="S13" s="60">
        <f t="shared" si="6"/>
      </c>
      <c r="T13" s="60">
        <f t="shared" si="7"/>
      </c>
      <c r="U13" s="60">
        <f t="shared" si="8"/>
      </c>
      <c r="V13" s="61">
        <f t="shared" si="33"/>
      </c>
      <c r="W13" s="61">
        <f t="shared" si="34"/>
      </c>
      <c r="X13" s="61">
        <f t="shared" si="35"/>
      </c>
      <c r="Y13" s="60">
        <f t="shared" si="36"/>
      </c>
      <c r="Z13" s="137">
        <f t="shared" si="9"/>
      </c>
      <c r="AA13" s="135">
        <f t="shared" si="10"/>
      </c>
      <c r="AB13" s="135">
        <f t="shared" si="11"/>
      </c>
      <c r="AC13" s="135">
        <f t="shared" si="12"/>
      </c>
      <c r="AD13" s="135">
        <f t="shared" si="13"/>
      </c>
      <c r="AE13" s="136">
        <f t="shared" si="14"/>
      </c>
      <c r="AF13" s="135">
        <f t="shared" si="15"/>
      </c>
      <c r="AG13" s="123">
        <f t="shared" si="16"/>
      </c>
      <c r="AH13" s="123">
        <f t="shared" si="17"/>
      </c>
      <c r="AI13" s="123">
        <f t="shared" si="18"/>
      </c>
      <c r="AJ13" s="123">
        <f t="shared" si="19"/>
      </c>
      <c r="AK13" s="123">
        <f t="shared" si="20"/>
      </c>
      <c r="AL13" s="123">
        <f t="shared" si="21"/>
      </c>
      <c r="AM13" s="123">
        <f t="shared" si="22"/>
      </c>
      <c r="AN13" s="123">
        <f t="shared" si="23"/>
      </c>
      <c r="AO13" s="123">
        <f t="shared" si="24"/>
      </c>
      <c r="AP13" s="123">
        <f t="shared" si="25"/>
      </c>
      <c r="AQ13" s="123">
        <f t="shared" si="26"/>
      </c>
      <c r="AR13" s="123">
        <f t="shared" si="27"/>
      </c>
      <c r="AS13" s="123">
        <f t="shared" si="28"/>
      </c>
      <c r="AT13" s="93">
        <f t="shared" si="29"/>
      </c>
      <c r="AW13" s="216"/>
      <c r="AX13" s="328">
        <f t="shared" si="30"/>
      </c>
      <c r="AY13" s="328">
        <f t="shared" si="31"/>
      </c>
    </row>
    <row r="14" spans="1:51" ht="18" customHeight="1">
      <c r="A14" s="339"/>
      <c r="B14" s="202"/>
      <c r="C14" s="346"/>
      <c r="D14" s="203"/>
      <c r="E14" s="325"/>
      <c r="F14" s="206"/>
      <c r="G14" s="46"/>
      <c r="H14" s="46"/>
      <c r="I14" s="53"/>
      <c r="J14" s="200"/>
      <c r="K14" s="60">
        <f t="shared" si="0"/>
      </c>
      <c r="L14" s="60">
        <f t="shared" si="1"/>
      </c>
      <c r="M14" s="60">
        <f t="shared" si="2"/>
      </c>
      <c r="N14" s="60">
        <f t="shared" si="3"/>
      </c>
      <c r="O14" s="60">
        <f t="shared" si="32"/>
      </c>
      <c r="P14" s="60">
        <f t="shared" si="4"/>
      </c>
      <c r="Q14" s="60">
        <f t="shared" si="5"/>
      </c>
      <c r="R14" s="60">
        <f t="shared" si="37"/>
      </c>
      <c r="S14" s="60">
        <f t="shared" si="6"/>
      </c>
      <c r="T14" s="60">
        <f t="shared" si="7"/>
      </c>
      <c r="U14" s="60">
        <f t="shared" si="8"/>
      </c>
      <c r="V14" s="61">
        <f t="shared" si="33"/>
      </c>
      <c r="W14" s="61">
        <f t="shared" si="34"/>
      </c>
      <c r="X14" s="61">
        <f t="shared" si="35"/>
      </c>
      <c r="Y14" s="60">
        <f t="shared" si="36"/>
      </c>
      <c r="Z14" s="137">
        <f t="shared" si="9"/>
      </c>
      <c r="AA14" s="135">
        <f t="shared" si="10"/>
      </c>
      <c r="AB14" s="135">
        <f t="shared" si="11"/>
      </c>
      <c r="AC14" s="135">
        <f t="shared" si="12"/>
      </c>
      <c r="AD14" s="135">
        <f t="shared" si="13"/>
      </c>
      <c r="AE14" s="136">
        <f t="shared" si="14"/>
      </c>
      <c r="AF14" s="135">
        <f t="shared" si="15"/>
      </c>
      <c r="AG14" s="123">
        <f t="shared" si="16"/>
      </c>
      <c r="AH14" s="123">
        <f t="shared" si="17"/>
      </c>
      <c r="AI14" s="123">
        <f t="shared" si="18"/>
      </c>
      <c r="AJ14" s="123">
        <f t="shared" si="19"/>
      </c>
      <c r="AK14" s="123">
        <f t="shared" si="20"/>
      </c>
      <c r="AL14" s="123">
        <f t="shared" si="21"/>
      </c>
      <c r="AM14" s="123">
        <f t="shared" si="22"/>
      </c>
      <c r="AN14" s="123">
        <f t="shared" si="23"/>
      </c>
      <c r="AO14" s="123">
        <f t="shared" si="24"/>
      </c>
      <c r="AP14" s="123">
        <f t="shared" si="25"/>
      </c>
      <c r="AQ14" s="123">
        <f t="shared" si="26"/>
      </c>
      <c r="AR14" s="123">
        <f t="shared" si="27"/>
      </c>
      <c r="AS14" s="123">
        <f t="shared" si="28"/>
      </c>
      <c r="AT14" s="93">
        <f t="shared" si="29"/>
      </c>
      <c r="AW14" s="216"/>
      <c r="AX14" s="328">
        <f t="shared" si="30"/>
      </c>
      <c r="AY14" s="328">
        <f t="shared" si="31"/>
      </c>
    </row>
    <row r="15" spans="1:51" ht="18" customHeight="1">
      <c r="A15" s="339"/>
      <c r="B15" s="202"/>
      <c r="C15" s="346"/>
      <c r="D15" s="203"/>
      <c r="E15" s="325"/>
      <c r="F15" s="205"/>
      <c r="G15" s="46"/>
      <c r="H15" s="46"/>
      <c r="I15" s="53"/>
      <c r="J15" s="200"/>
      <c r="K15" s="60">
        <f t="shared" si="0"/>
      </c>
      <c r="L15" s="60">
        <f t="shared" si="1"/>
      </c>
      <c r="M15" s="60">
        <f t="shared" si="2"/>
      </c>
      <c r="N15" s="60">
        <f t="shared" si="3"/>
      </c>
      <c r="O15" s="60">
        <f t="shared" si="32"/>
      </c>
      <c r="P15" s="60">
        <f t="shared" si="4"/>
      </c>
      <c r="Q15" s="60">
        <f t="shared" si="5"/>
      </c>
      <c r="R15" s="60">
        <f t="shared" si="37"/>
      </c>
      <c r="S15" s="60">
        <f t="shared" si="6"/>
      </c>
      <c r="T15" s="60">
        <f t="shared" si="7"/>
      </c>
      <c r="U15" s="60">
        <f t="shared" si="8"/>
      </c>
      <c r="V15" s="61">
        <f t="shared" si="33"/>
      </c>
      <c r="W15" s="61">
        <f t="shared" si="34"/>
      </c>
      <c r="X15" s="61">
        <f t="shared" si="35"/>
      </c>
      <c r="Y15" s="60">
        <f t="shared" si="36"/>
      </c>
      <c r="Z15" s="137">
        <f t="shared" si="9"/>
      </c>
      <c r="AA15" s="135">
        <f t="shared" si="10"/>
      </c>
      <c r="AB15" s="135">
        <f t="shared" si="11"/>
      </c>
      <c r="AC15" s="135">
        <f t="shared" si="12"/>
      </c>
      <c r="AD15" s="135">
        <f t="shared" si="13"/>
      </c>
      <c r="AE15" s="136">
        <f t="shared" si="14"/>
      </c>
      <c r="AF15" s="135">
        <f t="shared" si="15"/>
      </c>
      <c r="AG15" s="123">
        <f t="shared" si="16"/>
      </c>
      <c r="AH15" s="123">
        <f t="shared" si="17"/>
      </c>
      <c r="AI15" s="123">
        <f t="shared" si="18"/>
      </c>
      <c r="AJ15" s="123">
        <f t="shared" si="19"/>
      </c>
      <c r="AK15" s="123">
        <f t="shared" si="20"/>
      </c>
      <c r="AL15" s="123">
        <f t="shared" si="21"/>
      </c>
      <c r="AM15" s="123">
        <f t="shared" si="22"/>
      </c>
      <c r="AN15" s="123">
        <f t="shared" si="23"/>
      </c>
      <c r="AO15" s="123">
        <f t="shared" si="24"/>
      </c>
      <c r="AP15" s="123">
        <f t="shared" si="25"/>
      </c>
      <c r="AQ15" s="123">
        <f t="shared" si="26"/>
      </c>
      <c r="AR15" s="123">
        <f t="shared" si="27"/>
      </c>
      <c r="AS15" s="123">
        <f t="shared" si="28"/>
      </c>
      <c r="AT15" s="93">
        <f t="shared" si="29"/>
      </c>
      <c r="AW15" s="216"/>
      <c r="AX15" s="328">
        <f t="shared" si="30"/>
      </c>
      <c r="AY15" s="328">
        <f t="shared" si="31"/>
      </c>
    </row>
    <row r="16" spans="1:51" ht="18" customHeight="1">
      <c r="A16" s="339"/>
      <c r="B16" s="202"/>
      <c r="C16" s="346"/>
      <c r="D16" s="203"/>
      <c r="E16" s="325"/>
      <c r="F16" s="207"/>
      <c r="G16" s="47"/>
      <c r="H16" s="46"/>
      <c r="I16" s="53"/>
      <c r="J16" s="200"/>
      <c r="K16" s="60">
        <f t="shared" si="0"/>
      </c>
      <c r="L16" s="60">
        <f t="shared" si="1"/>
      </c>
      <c r="M16" s="60">
        <f t="shared" si="2"/>
      </c>
      <c r="N16" s="60">
        <f t="shared" si="3"/>
      </c>
      <c r="O16" s="60">
        <f t="shared" si="32"/>
      </c>
      <c r="P16" s="60">
        <f t="shared" si="4"/>
      </c>
      <c r="Q16" s="60">
        <f t="shared" si="5"/>
      </c>
      <c r="R16" s="60">
        <f t="shared" si="37"/>
      </c>
      <c r="S16" s="60">
        <f t="shared" si="6"/>
      </c>
      <c r="T16" s="60">
        <f t="shared" si="7"/>
      </c>
      <c r="U16" s="60">
        <f t="shared" si="8"/>
      </c>
      <c r="V16" s="61">
        <f t="shared" si="33"/>
      </c>
      <c r="W16" s="61">
        <f t="shared" si="34"/>
      </c>
      <c r="X16" s="61">
        <f t="shared" si="35"/>
      </c>
      <c r="Y16" s="60">
        <f t="shared" si="36"/>
      </c>
      <c r="Z16" s="137">
        <f t="shared" si="9"/>
      </c>
      <c r="AA16" s="135">
        <f t="shared" si="10"/>
      </c>
      <c r="AB16" s="135">
        <f t="shared" si="11"/>
      </c>
      <c r="AC16" s="135">
        <f t="shared" si="12"/>
      </c>
      <c r="AD16" s="135">
        <f t="shared" si="13"/>
      </c>
      <c r="AE16" s="136">
        <f t="shared" si="14"/>
      </c>
      <c r="AF16" s="135">
        <f t="shared" si="15"/>
      </c>
      <c r="AG16" s="123">
        <f t="shared" si="16"/>
      </c>
      <c r="AH16" s="123">
        <f t="shared" si="17"/>
      </c>
      <c r="AI16" s="123">
        <f t="shared" si="18"/>
      </c>
      <c r="AJ16" s="123">
        <f t="shared" si="19"/>
      </c>
      <c r="AK16" s="123">
        <f t="shared" si="20"/>
      </c>
      <c r="AL16" s="123">
        <f t="shared" si="21"/>
      </c>
      <c r="AM16" s="123">
        <f t="shared" si="22"/>
      </c>
      <c r="AN16" s="123">
        <f t="shared" si="23"/>
      </c>
      <c r="AO16" s="123">
        <f t="shared" si="24"/>
      </c>
      <c r="AP16" s="123">
        <f t="shared" si="25"/>
      </c>
      <c r="AQ16" s="123">
        <f t="shared" si="26"/>
      </c>
      <c r="AR16" s="123">
        <f t="shared" si="27"/>
      </c>
      <c r="AS16" s="123">
        <f t="shared" si="28"/>
      </c>
      <c r="AT16" s="93">
        <f t="shared" si="29"/>
      </c>
      <c r="AW16" s="216"/>
      <c r="AX16" s="328">
        <f t="shared" si="30"/>
      </c>
      <c r="AY16" s="328">
        <f t="shared" si="31"/>
      </c>
    </row>
    <row r="17" spans="1:51" ht="18" customHeight="1">
      <c r="A17" s="40" t="s">
        <v>117</v>
      </c>
      <c r="B17" s="29"/>
      <c r="C17" s="41">
        <f>SUM(C8,C9,C10,C11,C12,C13,C14,C15,C16)</f>
        <v>0</v>
      </c>
      <c r="D17" s="36">
        <f>G5+C17</f>
        <v>0</v>
      </c>
      <c r="E17" s="327"/>
      <c r="F17" s="203">
        <v>0</v>
      </c>
      <c r="G17" s="326">
        <f>'Comptes Lots'!B5+'Comptes Lots'!B28+'Comptes Lots'!B51+'Comptes Lots'!B74+'Comptes Lots'!B97+'Comptes Lots'!B120+'Comptes Lots'!B143+'Comptes Lots'!B166</f>
        <v>0</v>
      </c>
      <c r="H17" s="41">
        <f>H5+'Comptes Lots'!I5+'Comptes Lots'!I28+'Comptes Lots'!I51+'Comptes Lots'!I74+'Comptes Lots'!I97+'Comptes Lots'!I120+'Comptes Lots'!I143+'Comptes Lots'!I166</f>
        <v>0</v>
      </c>
      <c r="I17" s="64"/>
      <c r="J17" s="40" t="s">
        <v>117</v>
      </c>
      <c r="K17" s="41">
        <f aca="true" t="shared" si="38" ref="K17:Q17">SUM(K8,K9,K10,K11,K12,K13,K14,K15,K16)</f>
        <v>0</v>
      </c>
      <c r="L17" s="41">
        <f t="shared" si="38"/>
        <v>0</v>
      </c>
      <c r="M17" s="41">
        <f t="shared" si="38"/>
        <v>0</v>
      </c>
      <c r="N17" s="41">
        <f t="shared" si="38"/>
        <v>0</v>
      </c>
      <c r="O17" s="41">
        <f t="shared" si="38"/>
        <v>0</v>
      </c>
      <c r="P17" s="41">
        <f t="shared" si="38"/>
        <v>0</v>
      </c>
      <c r="Q17" s="41">
        <f t="shared" si="38"/>
        <v>0</v>
      </c>
      <c r="R17" s="41">
        <f aca="true" t="shared" si="39" ref="R17:Y17">SUM(R8,R9,R10,R11,R12,R13,R14,R15,R16)</f>
        <v>0</v>
      </c>
      <c r="S17" s="41">
        <f t="shared" si="39"/>
        <v>0</v>
      </c>
      <c r="T17" s="41">
        <f t="shared" si="39"/>
        <v>0</v>
      </c>
      <c r="U17" s="41">
        <f t="shared" si="39"/>
        <v>0</v>
      </c>
      <c r="V17" s="42">
        <f t="shared" si="39"/>
        <v>0</v>
      </c>
      <c r="W17" s="42">
        <f t="shared" si="39"/>
        <v>0</v>
      </c>
      <c r="X17" s="42">
        <f t="shared" si="39"/>
        <v>0</v>
      </c>
      <c r="Y17" s="41">
        <f t="shared" si="39"/>
        <v>0</v>
      </c>
      <c r="Z17" s="133">
        <f aca="true" t="shared" si="40" ref="Z17:AT17">SUM(Z8,Z9,Z10,Z11,Z12,Z13,Z14,Z15,Z16)</f>
        <v>0</v>
      </c>
      <c r="AA17" s="133">
        <f t="shared" si="40"/>
        <v>0</v>
      </c>
      <c r="AB17" s="133">
        <f t="shared" si="40"/>
        <v>0</v>
      </c>
      <c r="AC17" s="133">
        <f t="shared" si="40"/>
        <v>0</v>
      </c>
      <c r="AD17" s="133">
        <f t="shared" si="40"/>
        <v>0</v>
      </c>
      <c r="AE17" s="134">
        <f t="shared" si="40"/>
        <v>0</v>
      </c>
      <c r="AF17" s="133">
        <f t="shared" si="40"/>
        <v>0</v>
      </c>
      <c r="AG17" s="133">
        <f t="shared" si="40"/>
        <v>0</v>
      </c>
      <c r="AH17" s="133">
        <f t="shared" si="40"/>
        <v>0</v>
      </c>
      <c r="AI17" s="133">
        <f t="shared" si="40"/>
        <v>0</v>
      </c>
      <c r="AJ17" s="133">
        <f t="shared" si="40"/>
        <v>0</v>
      </c>
      <c r="AK17" s="133">
        <f t="shared" si="40"/>
        <v>0</v>
      </c>
      <c r="AL17" s="133">
        <f t="shared" si="40"/>
        <v>0</v>
      </c>
      <c r="AM17" s="134">
        <f t="shared" si="40"/>
        <v>0</v>
      </c>
      <c r="AN17" s="133">
        <f t="shared" si="40"/>
        <v>0</v>
      </c>
      <c r="AO17" s="133">
        <f t="shared" si="40"/>
        <v>0</v>
      </c>
      <c r="AP17" s="133">
        <f t="shared" si="40"/>
        <v>0</v>
      </c>
      <c r="AQ17" s="133">
        <f t="shared" si="40"/>
        <v>0</v>
      </c>
      <c r="AR17" s="133">
        <f t="shared" si="40"/>
        <v>0</v>
      </c>
      <c r="AS17" s="133">
        <f t="shared" si="40"/>
        <v>0</v>
      </c>
      <c r="AT17" s="133">
        <f t="shared" si="40"/>
        <v>0</v>
      </c>
      <c r="AW17" s="216"/>
      <c r="AX17" s="329">
        <f>SUM(AX8,AX9,AX10,AX11,AX12,AX13,AX14,AX15,AX16)</f>
        <v>0</v>
      </c>
      <c r="AY17" s="329">
        <f>SUM(AY8,AY9,AY10,AY11,AY12,AY13,AY14,AY15,AY16)</f>
        <v>0</v>
      </c>
    </row>
    <row r="18" spans="1:32" ht="9.75" customHeight="1">
      <c r="A18" s="11"/>
      <c r="B18" s="11"/>
      <c r="C18" s="11"/>
      <c r="D18" s="11"/>
      <c r="E18" s="11"/>
      <c r="F18" s="11"/>
      <c r="G18" s="11"/>
      <c r="H18" s="55"/>
      <c r="I18" s="50"/>
      <c r="J18" s="56"/>
      <c r="K18" s="11"/>
      <c r="L18" s="11"/>
      <c r="M18" s="11"/>
      <c r="N18" s="11"/>
      <c r="O18" s="11"/>
      <c r="P18" s="11"/>
      <c r="Q18" s="11"/>
      <c r="R18" s="11"/>
      <c r="S18" s="11"/>
      <c r="T18" s="11"/>
      <c r="U18" s="11"/>
      <c r="V18" s="11"/>
      <c r="W18" s="11"/>
      <c r="X18" s="11"/>
      <c r="Y18" s="55"/>
      <c r="Z18" s="11"/>
      <c r="AA18" s="11"/>
      <c r="AB18" s="11"/>
      <c r="AC18" s="11"/>
      <c r="AD18" s="11"/>
      <c r="AE18" s="11"/>
      <c r="AF18" s="55"/>
    </row>
    <row r="19" spans="1:51" ht="18" customHeight="1">
      <c r="A19" s="39" t="s">
        <v>287</v>
      </c>
      <c r="B19" s="15"/>
      <c r="C19" s="15"/>
      <c r="D19" s="39"/>
      <c r="E19" s="39"/>
      <c r="F19" s="39" t="s">
        <v>324</v>
      </c>
      <c r="G19" s="15"/>
      <c r="H19" s="15"/>
      <c r="I19" s="52"/>
      <c r="J19" s="39" t="s">
        <v>287</v>
      </c>
      <c r="K19" s="39" t="s">
        <v>116</v>
      </c>
      <c r="L19" s="39"/>
      <c r="M19" s="15"/>
      <c r="N19" s="15"/>
      <c r="O19" s="14"/>
      <c r="P19" s="14"/>
      <c r="Q19" s="16"/>
      <c r="R19" s="39" t="s">
        <v>346</v>
      </c>
      <c r="S19" s="15"/>
      <c r="T19" s="15"/>
      <c r="U19" s="15"/>
      <c r="V19" s="14"/>
      <c r="W19" s="14"/>
      <c r="X19" s="14"/>
      <c r="Y19" s="16"/>
      <c r="Z19" s="127" t="s">
        <v>134</v>
      </c>
      <c r="AA19" s="128" t="s">
        <v>70</v>
      </c>
      <c r="AB19" s="103"/>
      <c r="AC19" s="103"/>
      <c r="AD19" s="103"/>
      <c r="AE19" s="129"/>
      <c r="AF19" s="129"/>
      <c r="AG19" s="92"/>
      <c r="AH19" s="92"/>
      <c r="AI19" s="92"/>
      <c r="AJ19" s="92"/>
      <c r="AK19" s="92"/>
      <c r="AL19" s="92"/>
      <c r="AM19" s="92"/>
      <c r="AN19" s="92"/>
      <c r="AO19" s="92"/>
      <c r="AP19" s="92"/>
      <c r="AQ19" s="92"/>
      <c r="AR19" s="92"/>
      <c r="AS19" s="92"/>
      <c r="AT19" s="95"/>
      <c r="AX19" s="93" t="s">
        <v>221</v>
      </c>
      <c r="AY19" s="93"/>
    </row>
    <row r="20" spans="1:51" ht="18" customHeight="1">
      <c r="A20" s="19" t="s">
        <v>292</v>
      </c>
      <c r="B20" s="19" t="s">
        <v>305</v>
      </c>
      <c r="C20" s="19" t="s">
        <v>320</v>
      </c>
      <c r="D20" s="35" t="s">
        <v>118</v>
      </c>
      <c r="E20" s="35" t="s">
        <v>326</v>
      </c>
      <c r="F20" s="35" t="s">
        <v>321</v>
      </c>
      <c r="G20" s="48" t="s">
        <v>323</v>
      </c>
      <c r="H20" s="43" t="s">
        <v>322</v>
      </c>
      <c r="I20" s="52"/>
      <c r="J20" s="19" t="s">
        <v>134</v>
      </c>
      <c r="K20" s="19" t="str">
        <f aca="true" t="shared" si="41" ref="K20:Q20">K7</f>
        <v>Générales</v>
      </c>
      <c r="L20" s="19" t="str">
        <f t="shared" si="41"/>
        <v>Escalier</v>
      </c>
      <c r="M20" s="19" t="str">
        <f t="shared" si="41"/>
        <v>Eau</v>
      </c>
      <c r="N20" s="19" t="str">
        <f t="shared" si="41"/>
        <v>Charge1</v>
      </c>
      <c r="O20" s="19" t="str">
        <f t="shared" si="41"/>
        <v>Charge2</v>
      </c>
      <c r="P20" s="19" t="str">
        <f t="shared" si="41"/>
        <v>Travaux</v>
      </c>
      <c r="Q20" s="19" t="str">
        <f t="shared" si="41"/>
        <v>Provision</v>
      </c>
      <c r="R20" s="19" t="s">
        <v>52</v>
      </c>
      <c r="S20" s="19" t="s">
        <v>408</v>
      </c>
      <c r="T20" s="19" t="s">
        <v>53</v>
      </c>
      <c r="U20" s="19" t="s">
        <v>300</v>
      </c>
      <c r="V20" s="13" t="s">
        <v>209</v>
      </c>
      <c r="W20" s="13" t="s">
        <v>469</v>
      </c>
      <c r="X20" s="13" t="s">
        <v>470</v>
      </c>
      <c r="Y20" s="34" t="s">
        <v>43</v>
      </c>
      <c r="Z20" s="130">
        <v>60</v>
      </c>
      <c r="AA20" s="130">
        <v>61</v>
      </c>
      <c r="AB20" s="130">
        <v>62</v>
      </c>
      <c r="AC20" s="130">
        <v>63</v>
      </c>
      <c r="AD20" s="130">
        <v>64</v>
      </c>
      <c r="AE20" s="131">
        <v>66</v>
      </c>
      <c r="AF20" s="132">
        <v>661</v>
      </c>
      <c r="AG20" s="138">
        <v>671</v>
      </c>
      <c r="AH20" s="132">
        <v>672</v>
      </c>
      <c r="AI20" s="132">
        <v>673</v>
      </c>
      <c r="AJ20" s="132">
        <v>677</v>
      </c>
      <c r="AK20" s="132">
        <v>68</v>
      </c>
      <c r="AL20" s="132">
        <v>701</v>
      </c>
      <c r="AM20" s="132">
        <v>702</v>
      </c>
      <c r="AN20" s="132">
        <v>703</v>
      </c>
      <c r="AO20" s="132">
        <v>704</v>
      </c>
      <c r="AP20" s="132">
        <v>711</v>
      </c>
      <c r="AQ20" s="132">
        <v>712</v>
      </c>
      <c r="AR20" s="132">
        <v>713</v>
      </c>
      <c r="AS20" s="132">
        <v>714</v>
      </c>
      <c r="AT20" s="93"/>
      <c r="AX20" s="93" t="s">
        <v>442</v>
      </c>
      <c r="AY20" s="93" t="s">
        <v>303</v>
      </c>
    </row>
    <row r="21" spans="1:51" ht="18" customHeight="1">
      <c r="A21" s="339"/>
      <c r="B21" s="202"/>
      <c r="C21" s="346">
        <v>0</v>
      </c>
      <c r="D21" s="203"/>
      <c r="E21" s="325"/>
      <c r="F21" s="204"/>
      <c r="G21" s="45"/>
      <c r="H21" s="45"/>
      <c r="I21" s="53"/>
      <c r="J21" s="200"/>
      <c r="K21" s="60">
        <f aca="true" t="shared" si="42" ref="K21:K29">IF(D21="Générales",C21,"")</f>
      </c>
      <c r="L21" s="60">
        <f aca="true" t="shared" si="43" ref="L21:L29">IF(D21="Escalier",C21,"")</f>
      </c>
      <c r="M21" s="60">
        <f aca="true" t="shared" si="44" ref="M21:M29">IF(D21="Eau",C21,"")</f>
      </c>
      <c r="N21" s="60">
        <f aca="true" t="shared" si="45" ref="N21:N29">IF(D21="Spéciales1",C21,"")</f>
      </c>
      <c r="O21" s="60">
        <f aca="true" t="shared" si="46" ref="O21:O29">IF(D21="Spéciales2",C21,"")</f>
      </c>
      <c r="P21" s="60">
        <f aca="true" t="shared" si="47" ref="P21:P29">IF(D21="Travaux",C21,"")</f>
      </c>
      <c r="Q21" s="60">
        <f aca="true" t="shared" si="48" ref="Q21:Q29">IF(D21="Provision",C21,"")</f>
      </c>
      <c r="R21" s="60">
        <f aca="true" t="shared" si="49" ref="R21:R29">IF(D21="Lot n°1",C21,"")</f>
      </c>
      <c r="S21" s="60">
        <f aca="true" t="shared" si="50" ref="S21:S29">IF(D21="Lot n°2",C21,"")</f>
      </c>
      <c r="T21" s="60">
        <f aca="true" t="shared" si="51" ref="T21:T29">IF(D21="Lot n°3",C21,"")</f>
      </c>
      <c r="U21" s="60">
        <f aca="true" t="shared" si="52" ref="U21:U29">IF(D21="Lot n°4",C21,"")</f>
      </c>
      <c r="V21" s="61">
        <f aca="true" t="shared" si="53" ref="V21:V29">IF(D21="Lot n°5",C21,"")</f>
      </c>
      <c r="W21" s="61">
        <f>IF(D21="Lot n°6",C21,"")</f>
      </c>
      <c r="X21" s="61">
        <f>IF(D21="Lot n°7",C21,"")</f>
      </c>
      <c r="Y21" s="60">
        <f aca="true" t="shared" si="54" ref="Y21:Y29">IF(D21="Lot n°M",C21,"")</f>
      </c>
      <c r="Z21" s="137">
        <f aca="true" t="shared" si="55" ref="Z21:Z29">IF(J21="60 Achat de matières et fournitures",C21,"")</f>
      </c>
      <c r="AA21" s="135">
        <f aca="true" t="shared" si="56" ref="AA21:AA29">IF(J21="61 Services extérieurs",C21,"")</f>
      </c>
      <c r="AB21" s="135">
        <f aca="true" t="shared" si="57" ref="AB21:AB29">IF(J21="62 Frais d'administration et honoraires",C21,"")</f>
      </c>
      <c r="AC21" s="135">
        <f aca="true" t="shared" si="58" ref="AC21:AC29">IF(J21="63 Impôts - taxes et versements assimilés",C21,"")</f>
      </c>
      <c r="AD21" s="135">
        <f aca="true" t="shared" si="59" ref="AD21:AD29">IF(J21="64 Frais de personnel",C21,"")</f>
      </c>
      <c r="AE21" s="136">
        <f aca="true" t="shared" si="60" ref="AE21:AE29">IF(J21="66 Charges financières des emprunts, agios",C21,"")</f>
      </c>
      <c r="AF21" s="135">
        <f aca="true" t="shared" si="61" ref="AF21:AF29">IF(J21="661 Rembourcement d'annuités d'emprunt",C21,"")</f>
      </c>
      <c r="AG21" s="123">
        <f aca="true" t="shared" si="62" ref="AG21:AG29">IF(J21="671 Travaux décidés par l'AG",C21,"")</f>
      </c>
      <c r="AH21" s="123">
        <f aca="true" t="shared" si="63" ref="AH21:AH29">IF(J21="672 Travaux urgents",C21,"")</f>
      </c>
      <c r="AI21" s="123">
        <f aca="true" t="shared" si="64" ref="AI21:AI29">IF(J21="673 Etudes techniques, diagnostic",C21,"")</f>
      </c>
      <c r="AJ21" s="123">
        <f aca="true" t="shared" si="65" ref="AJ21:AJ29">IF(J21="677 Pertes sur créances irrécouvrables",C21,"")</f>
      </c>
      <c r="AK21" s="123">
        <f aca="true" t="shared" si="66" ref="AK21:AK29">IF(J21="68 Dotations aux dépréciations sur créances douteuses",C21,"")</f>
      </c>
      <c r="AL21" s="123">
        <f aca="true" t="shared" si="67" ref="AL21:AL29">IF(J21="701 Provisions sur opérations courantes",C21,"")</f>
      </c>
      <c r="AM21" s="123">
        <f aca="true" t="shared" si="68" ref="AM21:AM29">IF(J21="702 Provisions pour travaux",C21,"")</f>
      </c>
      <c r="AN21" s="123">
        <f aca="true" t="shared" si="69" ref="AN21:AN29">IF(J21="703 Avances",C21,"")</f>
      </c>
      <c r="AO21" s="123">
        <f aca="true" t="shared" si="70" ref="AO21:AO29">IF(J21="704 Rembourcement d'emprunt",C21,"")</f>
      </c>
      <c r="AP21" s="123">
        <f aca="true" t="shared" si="71" ref="AP21:AP29">IF(J21="711 Subventions sur travaux",C21,"")</f>
      </c>
      <c r="AQ21" s="123">
        <f aca="true" t="shared" si="72" ref="AQ21:AQ29">IF(J21="712 Emprunts",C21,"")</f>
      </c>
      <c r="AR21" s="123">
        <f aca="true" t="shared" si="73" ref="AR21:AR29">IF(J21="713 Indemnités d'assurances",C21,"")</f>
      </c>
      <c r="AS21" s="123">
        <f aca="true" t="shared" si="74" ref="AS21:AS29">IF(J21="714 Produits divers",C21,"")</f>
      </c>
      <c r="AT21" s="93">
        <f aca="true" t="shared" si="75" ref="AT21:AT29">IF(J21="78 Reprises de dépréciations sur créance",C21,"")</f>
      </c>
      <c r="AX21" s="328">
        <f aca="true" t="shared" si="76" ref="AX21:AX29">IF(E21="Locataires",K21,"")</f>
      </c>
      <c r="AY21" s="328">
        <f aca="true" t="shared" si="77" ref="AY21:AY29">IF(E21="Locataires",L21,"")</f>
      </c>
    </row>
    <row r="22" spans="1:51" ht="18" customHeight="1">
      <c r="A22" s="339"/>
      <c r="B22" s="202"/>
      <c r="C22" s="346">
        <v>0</v>
      </c>
      <c r="D22" s="203"/>
      <c r="E22" s="325"/>
      <c r="F22" s="205"/>
      <c r="G22" s="46"/>
      <c r="H22" s="46"/>
      <c r="I22" s="53"/>
      <c r="J22" s="200"/>
      <c r="K22" s="60">
        <f t="shared" si="42"/>
      </c>
      <c r="L22" s="60">
        <f t="shared" si="43"/>
      </c>
      <c r="M22" s="60">
        <f t="shared" si="44"/>
      </c>
      <c r="N22" s="60">
        <f t="shared" si="45"/>
      </c>
      <c r="O22" s="60">
        <f t="shared" si="46"/>
      </c>
      <c r="P22" s="60">
        <f t="shared" si="47"/>
      </c>
      <c r="Q22" s="60">
        <f t="shared" si="48"/>
      </c>
      <c r="R22" s="60">
        <f t="shared" si="49"/>
      </c>
      <c r="S22" s="60">
        <f t="shared" si="50"/>
      </c>
      <c r="T22" s="60">
        <f t="shared" si="51"/>
      </c>
      <c r="U22" s="60">
        <f t="shared" si="52"/>
      </c>
      <c r="V22" s="61">
        <f t="shared" si="53"/>
      </c>
      <c r="W22" s="61">
        <f aca="true" t="shared" si="78" ref="W22:W29">IF(D22="Lot n°6",C22,"")</f>
      </c>
      <c r="X22" s="61">
        <f aca="true" t="shared" si="79" ref="X22:X29">IF(D22="Lot n°7",C22,"")</f>
      </c>
      <c r="Y22" s="60">
        <f t="shared" si="54"/>
      </c>
      <c r="Z22" s="137">
        <f t="shared" si="55"/>
      </c>
      <c r="AA22" s="135">
        <f t="shared" si="56"/>
      </c>
      <c r="AB22" s="135">
        <f t="shared" si="57"/>
      </c>
      <c r="AC22" s="135">
        <f t="shared" si="58"/>
      </c>
      <c r="AD22" s="135">
        <f t="shared" si="59"/>
      </c>
      <c r="AE22" s="136">
        <f t="shared" si="60"/>
      </c>
      <c r="AF22" s="135">
        <f t="shared" si="61"/>
      </c>
      <c r="AG22" s="123">
        <f t="shared" si="62"/>
      </c>
      <c r="AH22" s="123">
        <f t="shared" si="63"/>
      </c>
      <c r="AI22" s="123">
        <f t="shared" si="64"/>
      </c>
      <c r="AJ22" s="123">
        <f t="shared" si="65"/>
      </c>
      <c r="AK22" s="123">
        <f t="shared" si="66"/>
      </c>
      <c r="AL22" s="123">
        <f t="shared" si="67"/>
      </c>
      <c r="AM22" s="123">
        <f t="shared" si="68"/>
      </c>
      <c r="AN22" s="123">
        <f t="shared" si="69"/>
      </c>
      <c r="AO22" s="123">
        <f t="shared" si="70"/>
      </c>
      <c r="AP22" s="123">
        <f t="shared" si="71"/>
      </c>
      <c r="AQ22" s="123">
        <f t="shared" si="72"/>
      </c>
      <c r="AR22" s="123">
        <f t="shared" si="73"/>
      </c>
      <c r="AS22" s="123">
        <f t="shared" si="74"/>
      </c>
      <c r="AT22" s="93">
        <f t="shared" si="75"/>
      </c>
      <c r="AX22" s="328">
        <f t="shared" si="76"/>
      </c>
      <c r="AY22" s="328">
        <f t="shared" si="77"/>
      </c>
    </row>
    <row r="23" spans="1:51" ht="18" customHeight="1">
      <c r="A23" s="339"/>
      <c r="B23" s="202"/>
      <c r="C23" s="346">
        <v>0</v>
      </c>
      <c r="D23" s="203"/>
      <c r="E23" s="325"/>
      <c r="F23" s="205"/>
      <c r="G23" s="46"/>
      <c r="H23" s="46"/>
      <c r="I23" s="53"/>
      <c r="J23" s="200"/>
      <c r="K23" s="60">
        <f t="shared" si="42"/>
      </c>
      <c r="L23" s="60">
        <f t="shared" si="43"/>
      </c>
      <c r="M23" s="60">
        <f t="shared" si="44"/>
      </c>
      <c r="N23" s="60">
        <f t="shared" si="45"/>
      </c>
      <c r="O23" s="60">
        <f t="shared" si="46"/>
      </c>
      <c r="P23" s="60">
        <f t="shared" si="47"/>
      </c>
      <c r="Q23" s="60">
        <f t="shared" si="48"/>
      </c>
      <c r="R23" s="60">
        <f t="shared" si="49"/>
      </c>
      <c r="S23" s="60">
        <f t="shared" si="50"/>
      </c>
      <c r="T23" s="60">
        <f t="shared" si="51"/>
      </c>
      <c r="U23" s="60">
        <f t="shared" si="52"/>
      </c>
      <c r="V23" s="61">
        <f t="shared" si="53"/>
      </c>
      <c r="W23" s="61">
        <f t="shared" si="78"/>
      </c>
      <c r="X23" s="61">
        <f t="shared" si="79"/>
      </c>
      <c r="Y23" s="60">
        <f t="shared" si="54"/>
      </c>
      <c r="Z23" s="137">
        <f t="shared" si="55"/>
      </c>
      <c r="AA23" s="135">
        <f t="shared" si="56"/>
      </c>
      <c r="AB23" s="135">
        <f t="shared" si="57"/>
      </c>
      <c r="AC23" s="135">
        <f t="shared" si="58"/>
      </c>
      <c r="AD23" s="135">
        <f t="shared" si="59"/>
      </c>
      <c r="AE23" s="136">
        <f t="shared" si="60"/>
      </c>
      <c r="AF23" s="135">
        <f t="shared" si="61"/>
      </c>
      <c r="AG23" s="123">
        <f t="shared" si="62"/>
      </c>
      <c r="AH23" s="123">
        <f t="shared" si="63"/>
      </c>
      <c r="AI23" s="123">
        <f t="shared" si="64"/>
      </c>
      <c r="AJ23" s="123">
        <f t="shared" si="65"/>
      </c>
      <c r="AK23" s="123">
        <f t="shared" si="66"/>
      </c>
      <c r="AL23" s="123">
        <f t="shared" si="67"/>
      </c>
      <c r="AM23" s="123">
        <f t="shared" si="68"/>
      </c>
      <c r="AN23" s="123">
        <f t="shared" si="69"/>
      </c>
      <c r="AO23" s="123">
        <f t="shared" si="70"/>
      </c>
      <c r="AP23" s="123">
        <f t="shared" si="71"/>
      </c>
      <c r="AQ23" s="123">
        <f t="shared" si="72"/>
      </c>
      <c r="AR23" s="123">
        <f t="shared" si="73"/>
      </c>
      <c r="AS23" s="123">
        <f t="shared" si="74"/>
      </c>
      <c r="AT23" s="93">
        <f t="shared" si="75"/>
      </c>
      <c r="AX23" s="328">
        <f t="shared" si="76"/>
      </c>
      <c r="AY23" s="328">
        <f t="shared" si="77"/>
      </c>
    </row>
    <row r="24" spans="1:51" ht="18" customHeight="1">
      <c r="A24" s="339"/>
      <c r="B24" s="202"/>
      <c r="C24" s="346">
        <v>0</v>
      </c>
      <c r="D24" s="203"/>
      <c r="E24" s="325"/>
      <c r="F24" s="206"/>
      <c r="G24" s="46"/>
      <c r="H24" s="46"/>
      <c r="I24" s="53"/>
      <c r="J24" s="200"/>
      <c r="K24" s="60">
        <f t="shared" si="42"/>
      </c>
      <c r="L24" s="60">
        <f t="shared" si="43"/>
      </c>
      <c r="M24" s="60">
        <f t="shared" si="44"/>
      </c>
      <c r="N24" s="60">
        <f t="shared" si="45"/>
      </c>
      <c r="O24" s="60">
        <f t="shared" si="46"/>
      </c>
      <c r="P24" s="60">
        <f t="shared" si="47"/>
      </c>
      <c r="Q24" s="60">
        <f t="shared" si="48"/>
      </c>
      <c r="R24" s="60">
        <f t="shared" si="49"/>
      </c>
      <c r="S24" s="60">
        <f t="shared" si="50"/>
      </c>
      <c r="T24" s="60">
        <f t="shared" si="51"/>
      </c>
      <c r="U24" s="60">
        <f t="shared" si="52"/>
      </c>
      <c r="V24" s="61">
        <f t="shared" si="53"/>
      </c>
      <c r="W24" s="61">
        <f t="shared" si="78"/>
      </c>
      <c r="X24" s="61">
        <f t="shared" si="79"/>
      </c>
      <c r="Y24" s="60">
        <f t="shared" si="54"/>
      </c>
      <c r="Z24" s="137">
        <f t="shared" si="55"/>
      </c>
      <c r="AA24" s="135">
        <f t="shared" si="56"/>
      </c>
      <c r="AB24" s="135">
        <f t="shared" si="57"/>
      </c>
      <c r="AC24" s="135">
        <f t="shared" si="58"/>
      </c>
      <c r="AD24" s="135">
        <f t="shared" si="59"/>
      </c>
      <c r="AE24" s="136">
        <f t="shared" si="60"/>
      </c>
      <c r="AF24" s="135">
        <f t="shared" si="61"/>
      </c>
      <c r="AG24" s="123">
        <f t="shared" si="62"/>
      </c>
      <c r="AH24" s="123">
        <f t="shared" si="63"/>
      </c>
      <c r="AI24" s="123">
        <f t="shared" si="64"/>
      </c>
      <c r="AJ24" s="123">
        <f t="shared" si="65"/>
      </c>
      <c r="AK24" s="123">
        <f t="shared" si="66"/>
      </c>
      <c r="AL24" s="123">
        <f t="shared" si="67"/>
      </c>
      <c r="AM24" s="123">
        <f t="shared" si="68"/>
      </c>
      <c r="AN24" s="123">
        <f t="shared" si="69"/>
      </c>
      <c r="AO24" s="123">
        <f t="shared" si="70"/>
      </c>
      <c r="AP24" s="123">
        <f t="shared" si="71"/>
      </c>
      <c r="AQ24" s="123">
        <f t="shared" si="72"/>
      </c>
      <c r="AR24" s="123">
        <f t="shared" si="73"/>
      </c>
      <c r="AS24" s="123">
        <f t="shared" si="74"/>
      </c>
      <c r="AT24" s="93">
        <f t="shared" si="75"/>
      </c>
      <c r="AX24" s="328">
        <f t="shared" si="76"/>
      </c>
      <c r="AY24" s="328">
        <f t="shared" si="77"/>
      </c>
    </row>
    <row r="25" spans="1:51" ht="18" customHeight="1">
      <c r="A25" s="339"/>
      <c r="B25" s="202"/>
      <c r="C25" s="346">
        <v>0</v>
      </c>
      <c r="D25" s="203"/>
      <c r="E25" s="325"/>
      <c r="F25" s="206"/>
      <c r="G25" s="46"/>
      <c r="H25" s="46"/>
      <c r="I25" s="53"/>
      <c r="J25" s="200"/>
      <c r="K25" s="60">
        <f t="shared" si="42"/>
      </c>
      <c r="L25" s="60">
        <f t="shared" si="43"/>
      </c>
      <c r="M25" s="60">
        <f t="shared" si="44"/>
      </c>
      <c r="N25" s="60">
        <f t="shared" si="45"/>
      </c>
      <c r="O25" s="60">
        <f t="shared" si="46"/>
      </c>
      <c r="P25" s="60">
        <f t="shared" si="47"/>
      </c>
      <c r="Q25" s="60">
        <f t="shared" si="48"/>
      </c>
      <c r="R25" s="60">
        <f t="shared" si="49"/>
      </c>
      <c r="S25" s="60">
        <f t="shared" si="50"/>
      </c>
      <c r="T25" s="60">
        <f t="shared" si="51"/>
      </c>
      <c r="U25" s="60">
        <f t="shared" si="52"/>
      </c>
      <c r="V25" s="61">
        <f t="shared" si="53"/>
      </c>
      <c r="W25" s="61">
        <f t="shared" si="78"/>
      </c>
      <c r="X25" s="61">
        <f t="shared" si="79"/>
      </c>
      <c r="Y25" s="60">
        <f t="shared" si="54"/>
      </c>
      <c r="Z25" s="137">
        <f t="shared" si="55"/>
      </c>
      <c r="AA25" s="135">
        <f t="shared" si="56"/>
      </c>
      <c r="AB25" s="135">
        <f t="shared" si="57"/>
      </c>
      <c r="AC25" s="135">
        <f t="shared" si="58"/>
      </c>
      <c r="AD25" s="135">
        <f t="shared" si="59"/>
      </c>
      <c r="AE25" s="136">
        <f t="shared" si="60"/>
      </c>
      <c r="AF25" s="135">
        <f t="shared" si="61"/>
      </c>
      <c r="AG25" s="123">
        <f t="shared" si="62"/>
      </c>
      <c r="AH25" s="123">
        <f t="shared" si="63"/>
      </c>
      <c r="AI25" s="123">
        <f t="shared" si="64"/>
      </c>
      <c r="AJ25" s="123">
        <f t="shared" si="65"/>
      </c>
      <c r="AK25" s="123">
        <f t="shared" si="66"/>
      </c>
      <c r="AL25" s="123">
        <f t="shared" si="67"/>
      </c>
      <c r="AM25" s="123">
        <f t="shared" si="68"/>
      </c>
      <c r="AN25" s="123">
        <f t="shared" si="69"/>
      </c>
      <c r="AO25" s="123">
        <f t="shared" si="70"/>
      </c>
      <c r="AP25" s="123">
        <f t="shared" si="71"/>
      </c>
      <c r="AQ25" s="123">
        <f t="shared" si="72"/>
      </c>
      <c r="AR25" s="123">
        <f t="shared" si="73"/>
      </c>
      <c r="AS25" s="123">
        <f t="shared" si="74"/>
      </c>
      <c r="AT25" s="93">
        <f t="shared" si="75"/>
      </c>
      <c r="AX25" s="328">
        <f t="shared" si="76"/>
      </c>
      <c r="AY25" s="328">
        <f t="shared" si="77"/>
      </c>
    </row>
    <row r="26" spans="1:51" ht="18" customHeight="1">
      <c r="A26" s="339"/>
      <c r="B26" s="202"/>
      <c r="C26" s="346">
        <v>0</v>
      </c>
      <c r="D26" s="203"/>
      <c r="E26" s="325"/>
      <c r="F26" s="206"/>
      <c r="G26" s="46"/>
      <c r="H26" s="46"/>
      <c r="I26" s="53"/>
      <c r="J26" s="200"/>
      <c r="K26" s="60">
        <f t="shared" si="42"/>
      </c>
      <c r="L26" s="60">
        <f t="shared" si="43"/>
      </c>
      <c r="M26" s="60">
        <f t="shared" si="44"/>
      </c>
      <c r="N26" s="60">
        <f t="shared" si="45"/>
      </c>
      <c r="O26" s="60">
        <f t="shared" si="46"/>
      </c>
      <c r="P26" s="60">
        <f t="shared" si="47"/>
      </c>
      <c r="Q26" s="60">
        <f t="shared" si="48"/>
      </c>
      <c r="R26" s="60">
        <f t="shared" si="49"/>
      </c>
      <c r="S26" s="60">
        <f t="shared" si="50"/>
      </c>
      <c r="T26" s="60">
        <f t="shared" si="51"/>
      </c>
      <c r="U26" s="60">
        <f t="shared" si="52"/>
      </c>
      <c r="V26" s="61">
        <f t="shared" si="53"/>
      </c>
      <c r="W26" s="61">
        <f t="shared" si="78"/>
      </c>
      <c r="X26" s="61">
        <f t="shared" si="79"/>
      </c>
      <c r="Y26" s="60">
        <f t="shared" si="54"/>
      </c>
      <c r="Z26" s="137">
        <f t="shared" si="55"/>
      </c>
      <c r="AA26" s="135">
        <f t="shared" si="56"/>
      </c>
      <c r="AB26" s="135">
        <f t="shared" si="57"/>
      </c>
      <c r="AC26" s="135">
        <f t="shared" si="58"/>
      </c>
      <c r="AD26" s="135">
        <f t="shared" si="59"/>
      </c>
      <c r="AE26" s="136">
        <f t="shared" si="60"/>
      </c>
      <c r="AF26" s="135">
        <f t="shared" si="61"/>
      </c>
      <c r="AG26" s="123">
        <f t="shared" si="62"/>
      </c>
      <c r="AH26" s="123">
        <f t="shared" si="63"/>
      </c>
      <c r="AI26" s="123">
        <f t="shared" si="64"/>
      </c>
      <c r="AJ26" s="123">
        <f t="shared" si="65"/>
      </c>
      <c r="AK26" s="123">
        <f t="shared" si="66"/>
      </c>
      <c r="AL26" s="123">
        <f t="shared" si="67"/>
      </c>
      <c r="AM26" s="123">
        <f t="shared" si="68"/>
      </c>
      <c r="AN26" s="123">
        <f t="shared" si="69"/>
      </c>
      <c r="AO26" s="123">
        <f t="shared" si="70"/>
      </c>
      <c r="AP26" s="123">
        <f t="shared" si="71"/>
      </c>
      <c r="AQ26" s="123">
        <f t="shared" si="72"/>
      </c>
      <c r="AR26" s="123">
        <f t="shared" si="73"/>
      </c>
      <c r="AS26" s="123">
        <f t="shared" si="74"/>
      </c>
      <c r="AT26" s="93">
        <f t="shared" si="75"/>
      </c>
      <c r="AX26" s="328">
        <f t="shared" si="76"/>
      </c>
      <c r="AY26" s="328">
        <f t="shared" si="77"/>
      </c>
    </row>
    <row r="27" spans="1:51" ht="18" customHeight="1">
      <c r="A27" s="339"/>
      <c r="B27" s="202"/>
      <c r="C27" s="346">
        <v>0</v>
      </c>
      <c r="D27" s="203"/>
      <c r="E27" s="325"/>
      <c r="F27" s="206"/>
      <c r="G27" s="46"/>
      <c r="H27" s="46"/>
      <c r="I27" s="53"/>
      <c r="J27" s="200"/>
      <c r="K27" s="60">
        <f t="shared" si="42"/>
      </c>
      <c r="L27" s="60">
        <f t="shared" si="43"/>
      </c>
      <c r="M27" s="60">
        <f t="shared" si="44"/>
      </c>
      <c r="N27" s="60">
        <f t="shared" si="45"/>
      </c>
      <c r="O27" s="60">
        <f t="shared" si="46"/>
      </c>
      <c r="P27" s="60">
        <f t="shared" si="47"/>
      </c>
      <c r="Q27" s="60">
        <f t="shared" si="48"/>
      </c>
      <c r="R27" s="60">
        <f t="shared" si="49"/>
      </c>
      <c r="S27" s="60">
        <f t="shared" si="50"/>
      </c>
      <c r="T27" s="60">
        <f t="shared" si="51"/>
      </c>
      <c r="U27" s="60">
        <f t="shared" si="52"/>
      </c>
      <c r="V27" s="61">
        <f t="shared" si="53"/>
      </c>
      <c r="W27" s="61">
        <f t="shared" si="78"/>
      </c>
      <c r="X27" s="61">
        <f t="shared" si="79"/>
      </c>
      <c r="Y27" s="60">
        <f t="shared" si="54"/>
      </c>
      <c r="Z27" s="137">
        <f t="shared" si="55"/>
      </c>
      <c r="AA27" s="135">
        <f t="shared" si="56"/>
      </c>
      <c r="AB27" s="135">
        <f t="shared" si="57"/>
      </c>
      <c r="AC27" s="135">
        <f t="shared" si="58"/>
      </c>
      <c r="AD27" s="135">
        <f t="shared" si="59"/>
      </c>
      <c r="AE27" s="136">
        <f t="shared" si="60"/>
      </c>
      <c r="AF27" s="135">
        <f t="shared" si="61"/>
      </c>
      <c r="AG27" s="123">
        <f t="shared" si="62"/>
      </c>
      <c r="AH27" s="123">
        <f t="shared" si="63"/>
      </c>
      <c r="AI27" s="123">
        <f t="shared" si="64"/>
      </c>
      <c r="AJ27" s="123">
        <f t="shared" si="65"/>
      </c>
      <c r="AK27" s="123">
        <f t="shared" si="66"/>
      </c>
      <c r="AL27" s="123">
        <f t="shared" si="67"/>
      </c>
      <c r="AM27" s="123">
        <f t="shared" si="68"/>
      </c>
      <c r="AN27" s="123">
        <f t="shared" si="69"/>
      </c>
      <c r="AO27" s="123">
        <f t="shared" si="70"/>
      </c>
      <c r="AP27" s="123">
        <f t="shared" si="71"/>
      </c>
      <c r="AQ27" s="123">
        <f t="shared" si="72"/>
      </c>
      <c r="AR27" s="123">
        <f t="shared" si="73"/>
      </c>
      <c r="AS27" s="123">
        <f t="shared" si="74"/>
      </c>
      <c r="AT27" s="93">
        <f t="shared" si="75"/>
      </c>
      <c r="AX27" s="328">
        <f t="shared" si="76"/>
      </c>
      <c r="AY27" s="328">
        <f t="shared" si="77"/>
      </c>
    </row>
    <row r="28" spans="1:51" ht="18" customHeight="1">
      <c r="A28" s="339"/>
      <c r="B28" s="202"/>
      <c r="C28" s="346">
        <v>0</v>
      </c>
      <c r="D28" s="203"/>
      <c r="E28" s="325"/>
      <c r="F28" s="206"/>
      <c r="G28" s="46"/>
      <c r="H28" s="46"/>
      <c r="I28" s="53"/>
      <c r="J28" s="200"/>
      <c r="K28" s="60">
        <f t="shared" si="42"/>
      </c>
      <c r="L28" s="60">
        <f t="shared" si="43"/>
      </c>
      <c r="M28" s="60">
        <f t="shared" si="44"/>
      </c>
      <c r="N28" s="60">
        <f t="shared" si="45"/>
      </c>
      <c r="O28" s="60">
        <f t="shared" si="46"/>
      </c>
      <c r="P28" s="60">
        <f t="shared" si="47"/>
      </c>
      <c r="Q28" s="60">
        <f t="shared" si="48"/>
      </c>
      <c r="R28" s="60">
        <f t="shared" si="49"/>
      </c>
      <c r="S28" s="60">
        <f t="shared" si="50"/>
      </c>
      <c r="T28" s="60">
        <f t="shared" si="51"/>
      </c>
      <c r="U28" s="60">
        <f t="shared" si="52"/>
      </c>
      <c r="V28" s="61">
        <f t="shared" si="53"/>
      </c>
      <c r="W28" s="61">
        <f t="shared" si="78"/>
      </c>
      <c r="X28" s="61">
        <f t="shared" si="79"/>
      </c>
      <c r="Y28" s="60">
        <f t="shared" si="54"/>
      </c>
      <c r="Z28" s="137">
        <f t="shared" si="55"/>
      </c>
      <c r="AA28" s="135">
        <f t="shared" si="56"/>
      </c>
      <c r="AB28" s="135">
        <f t="shared" si="57"/>
      </c>
      <c r="AC28" s="135">
        <f t="shared" si="58"/>
      </c>
      <c r="AD28" s="135">
        <f t="shared" si="59"/>
      </c>
      <c r="AE28" s="136">
        <f t="shared" si="60"/>
      </c>
      <c r="AF28" s="135">
        <f t="shared" si="61"/>
      </c>
      <c r="AG28" s="123">
        <f t="shared" si="62"/>
      </c>
      <c r="AH28" s="123">
        <f t="shared" si="63"/>
      </c>
      <c r="AI28" s="123">
        <f t="shared" si="64"/>
      </c>
      <c r="AJ28" s="123">
        <f t="shared" si="65"/>
      </c>
      <c r="AK28" s="123">
        <f t="shared" si="66"/>
      </c>
      <c r="AL28" s="123">
        <f t="shared" si="67"/>
      </c>
      <c r="AM28" s="123">
        <f t="shared" si="68"/>
      </c>
      <c r="AN28" s="123">
        <f t="shared" si="69"/>
      </c>
      <c r="AO28" s="123">
        <f t="shared" si="70"/>
      </c>
      <c r="AP28" s="123">
        <f t="shared" si="71"/>
      </c>
      <c r="AQ28" s="123">
        <f t="shared" si="72"/>
      </c>
      <c r="AR28" s="123">
        <f t="shared" si="73"/>
      </c>
      <c r="AS28" s="123">
        <f t="shared" si="74"/>
      </c>
      <c r="AT28" s="93">
        <f t="shared" si="75"/>
      </c>
      <c r="AX28" s="328">
        <f t="shared" si="76"/>
      </c>
      <c r="AY28" s="328">
        <f t="shared" si="77"/>
      </c>
    </row>
    <row r="29" spans="1:51" ht="18" customHeight="1">
      <c r="A29" s="339"/>
      <c r="B29" s="202"/>
      <c r="C29" s="346">
        <v>0</v>
      </c>
      <c r="D29" s="203"/>
      <c r="E29" s="325"/>
      <c r="F29" s="207"/>
      <c r="G29" s="47"/>
      <c r="H29" s="46"/>
      <c r="I29" s="53"/>
      <c r="J29" s="200"/>
      <c r="K29" s="60">
        <f t="shared" si="42"/>
      </c>
      <c r="L29" s="60">
        <f t="shared" si="43"/>
      </c>
      <c r="M29" s="60">
        <f t="shared" si="44"/>
      </c>
      <c r="N29" s="60">
        <f t="shared" si="45"/>
      </c>
      <c r="O29" s="60">
        <f t="shared" si="46"/>
      </c>
      <c r="P29" s="60">
        <f t="shared" si="47"/>
      </c>
      <c r="Q29" s="60">
        <f t="shared" si="48"/>
      </c>
      <c r="R29" s="60">
        <f t="shared" si="49"/>
      </c>
      <c r="S29" s="60">
        <f t="shared" si="50"/>
      </c>
      <c r="T29" s="60">
        <f t="shared" si="51"/>
      </c>
      <c r="U29" s="60">
        <f t="shared" si="52"/>
      </c>
      <c r="V29" s="61">
        <f t="shared" si="53"/>
      </c>
      <c r="W29" s="61">
        <f t="shared" si="78"/>
      </c>
      <c r="X29" s="61">
        <f t="shared" si="79"/>
      </c>
      <c r="Y29" s="60">
        <f t="shared" si="54"/>
      </c>
      <c r="Z29" s="137">
        <f t="shared" si="55"/>
      </c>
      <c r="AA29" s="135">
        <f t="shared" si="56"/>
      </c>
      <c r="AB29" s="135">
        <f t="shared" si="57"/>
      </c>
      <c r="AC29" s="135">
        <f t="shared" si="58"/>
      </c>
      <c r="AD29" s="135">
        <f t="shared" si="59"/>
      </c>
      <c r="AE29" s="136">
        <f t="shared" si="60"/>
      </c>
      <c r="AF29" s="135">
        <f t="shared" si="61"/>
      </c>
      <c r="AG29" s="123">
        <f t="shared" si="62"/>
      </c>
      <c r="AH29" s="123">
        <f t="shared" si="63"/>
      </c>
      <c r="AI29" s="123">
        <f t="shared" si="64"/>
      </c>
      <c r="AJ29" s="123">
        <f t="shared" si="65"/>
      </c>
      <c r="AK29" s="123">
        <f t="shared" si="66"/>
      </c>
      <c r="AL29" s="123">
        <f t="shared" si="67"/>
      </c>
      <c r="AM29" s="123">
        <f t="shared" si="68"/>
      </c>
      <c r="AN29" s="123">
        <f t="shared" si="69"/>
      </c>
      <c r="AO29" s="123">
        <f t="shared" si="70"/>
      </c>
      <c r="AP29" s="123">
        <f t="shared" si="71"/>
      </c>
      <c r="AQ29" s="123">
        <f t="shared" si="72"/>
      </c>
      <c r="AR29" s="123">
        <f t="shared" si="73"/>
      </c>
      <c r="AS29" s="123">
        <f t="shared" si="74"/>
      </c>
      <c r="AT29" s="93">
        <f t="shared" si="75"/>
      </c>
      <c r="AX29" s="328">
        <f t="shared" si="76"/>
      </c>
      <c r="AY29" s="328">
        <f t="shared" si="77"/>
      </c>
    </row>
    <row r="30" spans="1:51" ht="18" customHeight="1">
      <c r="A30" s="40" t="s">
        <v>117</v>
      </c>
      <c r="B30" s="29"/>
      <c r="C30" s="41">
        <f>SUM(C21,C22,C23,C24,C25,C26,C27,C28,C29)</f>
        <v>0</v>
      </c>
      <c r="D30" s="36">
        <f>D17+C30</f>
        <v>0</v>
      </c>
      <c r="E30" s="327"/>
      <c r="F30" s="203"/>
      <c r="G30" s="49">
        <f>'Comptes Lots'!B6+'Comptes Lots'!B29+'Comptes Lots'!B52+'Comptes Lots'!B75+'Comptes Lots'!B98+'Comptes Lots'!B121+'Comptes Lots'!B144+'Comptes Lots'!B167</f>
        <v>0</v>
      </c>
      <c r="H30" s="41">
        <f>H17+'Comptes Lots'!I6+'Comptes Lots'!I29+'Comptes Lots'!I52+'Comptes Lots'!I75+'Comptes Lots'!I98+'Comptes Lots'!I121+'Comptes Lots'!I144+'Comptes Lots'!I167</f>
        <v>0</v>
      </c>
      <c r="I30" s="64"/>
      <c r="J30" s="40" t="s">
        <v>117</v>
      </c>
      <c r="K30" s="41">
        <f aca="true" t="shared" si="80" ref="K30:Q30">SUM(K21,K22,K23,K24,K25,K26,K27,K28,K29)</f>
        <v>0</v>
      </c>
      <c r="L30" s="41">
        <f t="shared" si="80"/>
        <v>0</v>
      </c>
      <c r="M30" s="41">
        <f t="shared" si="80"/>
        <v>0</v>
      </c>
      <c r="N30" s="41">
        <f t="shared" si="80"/>
        <v>0</v>
      </c>
      <c r="O30" s="41">
        <f t="shared" si="80"/>
        <v>0</v>
      </c>
      <c r="P30" s="41">
        <f t="shared" si="80"/>
        <v>0</v>
      </c>
      <c r="Q30" s="41">
        <f t="shared" si="80"/>
        <v>0</v>
      </c>
      <c r="R30" s="41">
        <f aca="true" t="shared" si="81" ref="R30:Y30">SUM(R21,R22,R23,R24,R25,R26,R27,R28,R29)</f>
        <v>0</v>
      </c>
      <c r="S30" s="41">
        <f t="shared" si="81"/>
        <v>0</v>
      </c>
      <c r="T30" s="41">
        <f t="shared" si="81"/>
        <v>0</v>
      </c>
      <c r="U30" s="41">
        <f t="shared" si="81"/>
        <v>0</v>
      </c>
      <c r="V30" s="42">
        <f t="shared" si="81"/>
        <v>0</v>
      </c>
      <c r="W30" s="42">
        <f t="shared" si="81"/>
        <v>0</v>
      </c>
      <c r="X30" s="42">
        <f t="shared" si="81"/>
        <v>0</v>
      </c>
      <c r="Y30" s="41">
        <f t="shared" si="81"/>
        <v>0</v>
      </c>
      <c r="Z30" s="133">
        <f aca="true" t="shared" si="82" ref="Z30:AT30">SUM(Z21,Z22,Z23,Z24,Z25,Z26,Z27,Z28,Z29)</f>
        <v>0</v>
      </c>
      <c r="AA30" s="133">
        <f t="shared" si="82"/>
        <v>0</v>
      </c>
      <c r="AB30" s="133">
        <f t="shared" si="82"/>
        <v>0</v>
      </c>
      <c r="AC30" s="133">
        <f t="shared" si="82"/>
        <v>0</v>
      </c>
      <c r="AD30" s="133">
        <f t="shared" si="82"/>
        <v>0</v>
      </c>
      <c r="AE30" s="134">
        <f t="shared" si="82"/>
        <v>0</v>
      </c>
      <c r="AF30" s="133">
        <f t="shared" si="82"/>
        <v>0</v>
      </c>
      <c r="AG30" s="133">
        <f t="shared" si="82"/>
        <v>0</v>
      </c>
      <c r="AH30" s="133">
        <f t="shared" si="82"/>
        <v>0</v>
      </c>
      <c r="AI30" s="133">
        <f t="shared" si="82"/>
        <v>0</v>
      </c>
      <c r="AJ30" s="133">
        <f t="shared" si="82"/>
        <v>0</v>
      </c>
      <c r="AK30" s="133">
        <f t="shared" si="82"/>
        <v>0</v>
      </c>
      <c r="AL30" s="133">
        <f t="shared" si="82"/>
        <v>0</v>
      </c>
      <c r="AM30" s="134">
        <f t="shared" si="82"/>
        <v>0</v>
      </c>
      <c r="AN30" s="133">
        <f t="shared" si="82"/>
        <v>0</v>
      </c>
      <c r="AO30" s="133">
        <f t="shared" si="82"/>
        <v>0</v>
      </c>
      <c r="AP30" s="133">
        <f t="shared" si="82"/>
        <v>0</v>
      </c>
      <c r="AQ30" s="133">
        <f t="shared" si="82"/>
        <v>0</v>
      </c>
      <c r="AR30" s="133">
        <f t="shared" si="82"/>
        <v>0</v>
      </c>
      <c r="AS30" s="133">
        <f t="shared" si="82"/>
        <v>0</v>
      </c>
      <c r="AT30" s="133">
        <f t="shared" si="82"/>
        <v>0</v>
      </c>
      <c r="AX30" s="329">
        <f>SUM(AX21,AX22,AX23,AX24,AX25,AX26,AX27,AX28,AX29)</f>
        <v>0</v>
      </c>
      <c r="AY30" s="329">
        <f>SUM(AY21,AY22,AY23,AY24,AY25,AY26,AY27,AY28,AY29)</f>
        <v>0</v>
      </c>
    </row>
    <row r="31" spans="1:32" ht="9.75" customHeight="1">
      <c r="A31" s="11"/>
      <c r="B31" s="11"/>
      <c r="C31" s="11"/>
      <c r="D31" s="11"/>
      <c r="E31" s="11"/>
      <c r="F31" s="11"/>
      <c r="G31" s="11"/>
      <c r="H31" s="11"/>
      <c r="I31" s="50"/>
      <c r="J31" s="11"/>
      <c r="K31" s="11"/>
      <c r="L31" s="11"/>
      <c r="M31" s="11"/>
      <c r="N31" s="11"/>
      <c r="O31" s="11"/>
      <c r="P31" s="11"/>
      <c r="Q31" s="11"/>
      <c r="Y31" s="1"/>
      <c r="Z31" s="11"/>
      <c r="AF31" s="1"/>
    </row>
    <row r="32" spans="1:51" ht="18" customHeight="1">
      <c r="A32" s="39" t="s">
        <v>393</v>
      </c>
      <c r="B32" s="15"/>
      <c r="C32" s="15"/>
      <c r="D32" s="39"/>
      <c r="E32" s="39"/>
      <c r="F32" s="39" t="s">
        <v>324</v>
      </c>
      <c r="G32" s="15"/>
      <c r="H32" s="15"/>
      <c r="I32" s="52"/>
      <c r="J32" s="39" t="s">
        <v>393</v>
      </c>
      <c r="K32" s="39" t="s">
        <v>116</v>
      </c>
      <c r="L32" s="39"/>
      <c r="M32" s="15"/>
      <c r="N32" s="15"/>
      <c r="O32" s="14"/>
      <c r="P32" s="14"/>
      <c r="Q32" s="16"/>
      <c r="R32" s="39" t="s">
        <v>346</v>
      </c>
      <c r="S32" s="15"/>
      <c r="T32" s="15"/>
      <c r="U32" s="15"/>
      <c r="V32" s="14"/>
      <c r="W32" s="14"/>
      <c r="X32" s="14"/>
      <c r="Y32" s="16"/>
      <c r="Z32" s="127" t="s">
        <v>134</v>
      </c>
      <c r="AA32" s="128" t="s">
        <v>70</v>
      </c>
      <c r="AB32" s="103"/>
      <c r="AC32" s="103"/>
      <c r="AD32" s="103"/>
      <c r="AE32" s="129"/>
      <c r="AF32" s="129"/>
      <c r="AG32" s="92"/>
      <c r="AH32" s="92"/>
      <c r="AI32" s="92"/>
      <c r="AJ32" s="92"/>
      <c r="AK32" s="92"/>
      <c r="AL32" s="92"/>
      <c r="AM32" s="92"/>
      <c r="AN32" s="92"/>
      <c r="AO32" s="92"/>
      <c r="AP32" s="92"/>
      <c r="AQ32" s="92"/>
      <c r="AR32" s="92"/>
      <c r="AS32" s="92"/>
      <c r="AT32" s="95"/>
      <c r="AX32" s="93" t="s">
        <v>221</v>
      </c>
      <c r="AY32" s="93"/>
    </row>
    <row r="33" spans="1:51" ht="18" customHeight="1">
      <c r="A33" s="19" t="s">
        <v>292</v>
      </c>
      <c r="B33" s="19" t="s">
        <v>305</v>
      </c>
      <c r="C33" s="19" t="s">
        <v>320</v>
      </c>
      <c r="D33" s="35" t="s">
        <v>118</v>
      </c>
      <c r="E33" s="35" t="s">
        <v>326</v>
      </c>
      <c r="F33" s="35" t="s">
        <v>321</v>
      </c>
      <c r="G33" s="48" t="s">
        <v>323</v>
      </c>
      <c r="H33" s="43" t="s">
        <v>322</v>
      </c>
      <c r="I33" s="52"/>
      <c r="J33" s="19" t="s">
        <v>134</v>
      </c>
      <c r="K33" s="19" t="str">
        <f aca="true" t="shared" si="83" ref="K33:Q33">K20</f>
        <v>Générales</v>
      </c>
      <c r="L33" s="19" t="str">
        <f t="shared" si="83"/>
        <v>Escalier</v>
      </c>
      <c r="M33" s="19" t="str">
        <f t="shared" si="83"/>
        <v>Eau</v>
      </c>
      <c r="N33" s="19" t="str">
        <f t="shared" si="83"/>
        <v>Charge1</v>
      </c>
      <c r="O33" s="19" t="str">
        <f t="shared" si="83"/>
        <v>Charge2</v>
      </c>
      <c r="P33" s="19" t="str">
        <f t="shared" si="83"/>
        <v>Travaux</v>
      </c>
      <c r="Q33" s="19" t="str">
        <f t="shared" si="83"/>
        <v>Provision</v>
      </c>
      <c r="R33" s="19" t="s">
        <v>52</v>
      </c>
      <c r="S33" s="19" t="s">
        <v>408</v>
      </c>
      <c r="T33" s="19" t="s">
        <v>53</v>
      </c>
      <c r="U33" s="19" t="s">
        <v>300</v>
      </c>
      <c r="V33" s="13" t="s">
        <v>209</v>
      </c>
      <c r="W33" s="13" t="s">
        <v>469</v>
      </c>
      <c r="X33" s="13" t="s">
        <v>470</v>
      </c>
      <c r="Y33" s="34" t="s">
        <v>43</v>
      </c>
      <c r="Z33" s="130">
        <v>60</v>
      </c>
      <c r="AA33" s="130">
        <v>61</v>
      </c>
      <c r="AB33" s="130">
        <v>62</v>
      </c>
      <c r="AC33" s="130">
        <v>63</v>
      </c>
      <c r="AD33" s="130">
        <v>64</v>
      </c>
      <c r="AE33" s="131">
        <v>66</v>
      </c>
      <c r="AF33" s="132">
        <v>661</v>
      </c>
      <c r="AG33" s="138">
        <v>671</v>
      </c>
      <c r="AH33" s="132">
        <v>672</v>
      </c>
      <c r="AI33" s="132">
        <v>673</v>
      </c>
      <c r="AJ33" s="132">
        <v>677</v>
      </c>
      <c r="AK33" s="132">
        <v>68</v>
      </c>
      <c r="AL33" s="132">
        <v>701</v>
      </c>
      <c r="AM33" s="132">
        <v>702</v>
      </c>
      <c r="AN33" s="132">
        <v>703</v>
      </c>
      <c r="AO33" s="132">
        <v>704</v>
      </c>
      <c r="AP33" s="132">
        <v>711</v>
      </c>
      <c r="AQ33" s="132">
        <v>712</v>
      </c>
      <c r="AR33" s="132">
        <v>713</v>
      </c>
      <c r="AS33" s="132">
        <v>714</v>
      </c>
      <c r="AT33" s="93"/>
      <c r="AX33" s="93" t="s">
        <v>442</v>
      </c>
      <c r="AY33" s="93" t="s">
        <v>303</v>
      </c>
    </row>
    <row r="34" spans="1:51" ht="18" customHeight="1">
      <c r="A34" s="339"/>
      <c r="B34" s="202"/>
      <c r="C34" s="346">
        <v>0</v>
      </c>
      <c r="D34" s="203"/>
      <c r="E34" s="325"/>
      <c r="F34" s="204"/>
      <c r="G34" s="45"/>
      <c r="H34" s="45"/>
      <c r="I34" s="53"/>
      <c r="J34" s="200"/>
      <c r="K34" s="60">
        <f aca="true" t="shared" si="84" ref="K34:K42">IF(D34="Générales",C34,"")</f>
      </c>
      <c r="L34" s="60">
        <f aca="true" t="shared" si="85" ref="L34:L42">IF(D34="Escalier",C34,"")</f>
      </c>
      <c r="M34" s="60">
        <f aca="true" t="shared" si="86" ref="M34:M42">IF(D34="Eau",C34,"")</f>
      </c>
      <c r="N34" s="60">
        <f aca="true" t="shared" si="87" ref="N34:N42">IF(D34="Spéciales1",C34,"")</f>
      </c>
      <c r="O34" s="60">
        <f aca="true" t="shared" si="88" ref="O34:O42">IF(D34="Spéciales2",C34,"")</f>
      </c>
      <c r="P34" s="60">
        <f aca="true" t="shared" si="89" ref="P34:P42">IF(D34="Travaux",C34,"")</f>
      </c>
      <c r="Q34" s="60">
        <f aca="true" t="shared" si="90" ref="Q34:Q42">IF(D34="Provision",C34,"")</f>
      </c>
      <c r="R34" s="60">
        <f aca="true" t="shared" si="91" ref="R34:R42">IF(D34="Lot n°1",C34,"")</f>
      </c>
      <c r="S34" s="60">
        <f aca="true" t="shared" si="92" ref="S34:S42">IF(D34="Lot n°2",C34,"")</f>
      </c>
      <c r="T34" s="60">
        <f aca="true" t="shared" si="93" ref="T34:T42">IF(D34="Lot n°3",C34,"")</f>
      </c>
      <c r="U34" s="60">
        <f aca="true" t="shared" si="94" ref="U34:U42">IF(D34="Lot n°4",C34,"")</f>
      </c>
      <c r="V34" s="61">
        <f aca="true" t="shared" si="95" ref="V34:V42">IF(D34="Lot n°5",C34,"")</f>
      </c>
      <c r="W34" s="61">
        <f>IF(D34="Lot n°6",C34,"")</f>
      </c>
      <c r="X34" s="61">
        <f>IF(D34="Lot n°7",C34,"")</f>
      </c>
      <c r="Y34" s="60">
        <f aca="true" t="shared" si="96" ref="Y34:Y42">IF(D34="Lot n°M",C34,"")</f>
      </c>
      <c r="Z34" s="137">
        <f aca="true" t="shared" si="97" ref="Z34:Z42">IF(J34="60 Achat de matières et fournitures",C34,"")</f>
      </c>
      <c r="AA34" s="135">
        <f aca="true" t="shared" si="98" ref="AA34:AA42">IF(J34="61 Services extérieurs",C34,"")</f>
      </c>
      <c r="AB34" s="135">
        <f aca="true" t="shared" si="99" ref="AB34:AB42">IF(J34="62 Frais d'administration et honoraires",C34,"")</f>
      </c>
      <c r="AC34" s="135">
        <f aca="true" t="shared" si="100" ref="AC34:AC42">IF(J34="63 Impôts - taxes et versements assimilés",C34,"")</f>
      </c>
      <c r="AD34" s="135">
        <f aca="true" t="shared" si="101" ref="AD34:AD42">IF(J34="64 Frais de personnel",C34,"")</f>
      </c>
      <c r="AE34" s="136">
        <f aca="true" t="shared" si="102" ref="AE34:AE42">IF(J34="66 Charges financières des emprunts, agios",C34,"")</f>
      </c>
      <c r="AF34" s="135">
        <f aca="true" t="shared" si="103" ref="AF34:AF42">IF(J34="661 Rembourcement d'annuités d'emprunt",C34,"")</f>
      </c>
      <c r="AG34" s="123">
        <f aca="true" t="shared" si="104" ref="AG34:AG42">IF(J34="671 Travaux décidés par l'AG",C34,"")</f>
      </c>
      <c r="AH34" s="123">
        <f aca="true" t="shared" si="105" ref="AH34:AH42">IF(J34="672 Travaux urgents",C34,"")</f>
      </c>
      <c r="AI34" s="123">
        <f aca="true" t="shared" si="106" ref="AI34:AI42">IF(J34="673 Etudes techniques, diagnostic",C34,"")</f>
      </c>
      <c r="AJ34" s="123">
        <f aca="true" t="shared" si="107" ref="AJ34:AJ42">IF(J34="677 Pertes sur créances irrécouvrables",C34,"")</f>
      </c>
      <c r="AK34" s="123">
        <f aca="true" t="shared" si="108" ref="AK34:AK42">IF(J34="68 Dotations aux dépréciations sur créances douteuses",C34,"")</f>
      </c>
      <c r="AL34" s="123">
        <f aca="true" t="shared" si="109" ref="AL34:AL42">IF(J34="701 Provisions sur opérations courantes",C34,"")</f>
      </c>
      <c r="AM34" s="123">
        <f aca="true" t="shared" si="110" ref="AM34:AM42">IF(J34="702 Provisions pour travaux",C34,"")</f>
      </c>
      <c r="AN34" s="123">
        <f aca="true" t="shared" si="111" ref="AN34:AN42">IF(J34="703 Avances",C34,"")</f>
      </c>
      <c r="AO34" s="123">
        <f aca="true" t="shared" si="112" ref="AO34:AO42">IF(J34="704 Rembourcement d'emprunt",C34,"")</f>
      </c>
      <c r="AP34" s="123">
        <f aca="true" t="shared" si="113" ref="AP34:AP42">IF(J34="711 Subventions sur travaux",C34,"")</f>
      </c>
      <c r="AQ34" s="123">
        <f aca="true" t="shared" si="114" ref="AQ34:AQ42">IF(J34="712 Emprunts",C34,"")</f>
      </c>
      <c r="AR34" s="123">
        <f aca="true" t="shared" si="115" ref="AR34:AR42">IF(J34="713 Indemnités d'assurances",C34,"")</f>
      </c>
      <c r="AS34" s="123">
        <f aca="true" t="shared" si="116" ref="AS34:AS42">IF(J34="714 Produits divers",C34,"")</f>
      </c>
      <c r="AT34" s="93">
        <f aca="true" t="shared" si="117" ref="AT34:AT42">IF(J34="78 Reprises de dépréciations sur créance",C34,"")</f>
      </c>
      <c r="AX34" s="328">
        <f aca="true" t="shared" si="118" ref="AX34:AX42">IF(E34="Locataires",K34,"")</f>
      </c>
      <c r="AY34" s="328">
        <f aca="true" t="shared" si="119" ref="AY34:AY42">IF(E34="Locataires",L34,"")</f>
      </c>
    </row>
    <row r="35" spans="1:51" ht="18" customHeight="1">
      <c r="A35" s="339"/>
      <c r="B35" s="202"/>
      <c r="C35" s="346">
        <v>0</v>
      </c>
      <c r="D35" s="203"/>
      <c r="E35" s="325"/>
      <c r="F35" s="205"/>
      <c r="G35" s="46"/>
      <c r="H35" s="46"/>
      <c r="I35" s="53"/>
      <c r="J35" s="200"/>
      <c r="K35" s="60">
        <f t="shared" si="84"/>
      </c>
      <c r="L35" s="60">
        <f t="shared" si="85"/>
      </c>
      <c r="M35" s="60">
        <f t="shared" si="86"/>
      </c>
      <c r="N35" s="60">
        <f t="shared" si="87"/>
      </c>
      <c r="O35" s="60">
        <f t="shared" si="88"/>
      </c>
      <c r="P35" s="60">
        <f t="shared" si="89"/>
      </c>
      <c r="Q35" s="60">
        <f t="shared" si="90"/>
      </c>
      <c r="R35" s="60">
        <f t="shared" si="91"/>
      </c>
      <c r="S35" s="60">
        <f t="shared" si="92"/>
      </c>
      <c r="T35" s="60">
        <f t="shared" si="93"/>
      </c>
      <c r="U35" s="60">
        <f t="shared" si="94"/>
      </c>
      <c r="V35" s="61">
        <f t="shared" si="95"/>
      </c>
      <c r="W35" s="61">
        <f aca="true" t="shared" si="120" ref="W35:W42">IF(D35="Lot n°6",C35,"")</f>
      </c>
      <c r="X35" s="61">
        <f aca="true" t="shared" si="121" ref="X35:X42">IF(D35="Lot n°7",C35,"")</f>
      </c>
      <c r="Y35" s="60">
        <f t="shared" si="96"/>
      </c>
      <c r="Z35" s="137">
        <f t="shared" si="97"/>
      </c>
      <c r="AA35" s="135">
        <f t="shared" si="98"/>
      </c>
      <c r="AB35" s="135">
        <f t="shared" si="99"/>
      </c>
      <c r="AC35" s="135">
        <f t="shared" si="100"/>
      </c>
      <c r="AD35" s="135">
        <f t="shared" si="101"/>
      </c>
      <c r="AE35" s="136">
        <f t="shared" si="102"/>
      </c>
      <c r="AF35" s="135">
        <f t="shared" si="103"/>
      </c>
      <c r="AG35" s="123">
        <f t="shared" si="104"/>
      </c>
      <c r="AH35" s="123">
        <f t="shared" si="105"/>
      </c>
      <c r="AI35" s="123">
        <f t="shared" si="106"/>
      </c>
      <c r="AJ35" s="123">
        <f t="shared" si="107"/>
      </c>
      <c r="AK35" s="123">
        <f t="shared" si="108"/>
      </c>
      <c r="AL35" s="123">
        <f t="shared" si="109"/>
      </c>
      <c r="AM35" s="123">
        <f t="shared" si="110"/>
      </c>
      <c r="AN35" s="123">
        <f t="shared" si="111"/>
      </c>
      <c r="AO35" s="123">
        <f t="shared" si="112"/>
      </c>
      <c r="AP35" s="123">
        <f t="shared" si="113"/>
      </c>
      <c r="AQ35" s="123">
        <f t="shared" si="114"/>
      </c>
      <c r="AR35" s="123">
        <f t="shared" si="115"/>
      </c>
      <c r="AS35" s="123">
        <f t="shared" si="116"/>
      </c>
      <c r="AT35" s="93">
        <f t="shared" si="117"/>
      </c>
      <c r="AX35" s="328">
        <f t="shared" si="118"/>
      </c>
      <c r="AY35" s="328">
        <f t="shared" si="119"/>
      </c>
    </row>
    <row r="36" spans="1:51" ht="18" customHeight="1">
      <c r="A36" s="339"/>
      <c r="B36" s="202"/>
      <c r="C36" s="346"/>
      <c r="D36" s="203"/>
      <c r="E36" s="325"/>
      <c r="F36" s="205"/>
      <c r="G36" s="46"/>
      <c r="H36" s="46"/>
      <c r="I36" s="53"/>
      <c r="J36" s="200"/>
      <c r="K36" s="60">
        <f t="shared" si="84"/>
      </c>
      <c r="L36" s="60">
        <f t="shared" si="85"/>
      </c>
      <c r="M36" s="60">
        <f t="shared" si="86"/>
      </c>
      <c r="N36" s="60">
        <f t="shared" si="87"/>
      </c>
      <c r="O36" s="60">
        <f t="shared" si="88"/>
      </c>
      <c r="P36" s="60">
        <f t="shared" si="89"/>
      </c>
      <c r="Q36" s="60">
        <f t="shared" si="90"/>
      </c>
      <c r="R36" s="60">
        <f t="shared" si="91"/>
      </c>
      <c r="S36" s="60">
        <f t="shared" si="92"/>
      </c>
      <c r="T36" s="60">
        <f t="shared" si="93"/>
      </c>
      <c r="U36" s="60">
        <f t="shared" si="94"/>
      </c>
      <c r="V36" s="61">
        <f t="shared" si="95"/>
      </c>
      <c r="W36" s="61">
        <f t="shared" si="120"/>
      </c>
      <c r="X36" s="61">
        <f t="shared" si="121"/>
      </c>
      <c r="Y36" s="60">
        <f t="shared" si="96"/>
      </c>
      <c r="Z36" s="137">
        <f t="shared" si="97"/>
      </c>
      <c r="AA36" s="135">
        <f t="shared" si="98"/>
      </c>
      <c r="AB36" s="135">
        <f t="shared" si="99"/>
      </c>
      <c r="AC36" s="135">
        <f t="shared" si="100"/>
      </c>
      <c r="AD36" s="135">
        <f t="shared" si="101"/>
      </c>
      <c r="AE36" s="136">
        <f t="shared" si="102"/>
      </c>
      <c r="AF36" s="135">
        <f t="shared" si="103"/>
      </c>
      <c r="AG36" s="123">
        <f t="shared" si="104"/>
      </c>
      <c r="AH36" s="123">
        <f t="shared" si="105"/>
      </c>
      <c r="AI36" s="123">
        <f t="shared" si="106"/>
      </c>
      <c r="AJ36" s="123">
        <f t="shared" si="107"/>
      </c>
      <c r="AK36" s="123">
        <f t="shared" si="108"/>
      </c>
      <c r="AL36" s="123">
        <f t="shared" si="109"/>
      </c>
      <c r="AM36" s="123">
        <f t="shared" si="110"/>
      </c>
      <c r="AN36" s="123">
        <f t="shared" si="111"/>
      </c>
      <c r="AO36" s="123">
        <f t="shared" si="112"/>
      </c>
      <c r="AP36" s="123">
        <f t="shared" si="113"/>
      </c>
      <c r="AQ36" s="123">
        <f t="shared" si="114"/>
      </c>
      <c r="AR36" s="123">
        <f t="shared" si="115"/>
      </c>
      <c r="AS36" s="123">
        <f t="shared" si="116"/>
      </c>
      <c r="AT36" s="93">
        <f t="shared" si="117"/>
      </c>
      <c r="AX36" s="328">
        <f t="shared" si="118"/>
      </c>
      <c r="AY36" s="328">
        <f t="shared" si="119"/>
      </c>
    </row>
    <row r="37" spans="1:51" ht="18" customHeight="1">
      <c r="A37" s="339"/>
      <c r="B37" s="202"/>
      <c r="C37" s="346"/>
      <c r="D37" s="203"/>
      <c r="E37" s="325"/>
      <c r="F37" s="206"/>
      <c r="G37" s="46"/>
      <c r="H37" s="46"/>
      <c r="I37" s="53"/>
      <c r="J37" s="200"/>
      <c r="K37" s="60">
        <f t="shared" si="84"/>
      </c>
      <c r="L37" s="60">
        <f t="shared" si="85"/>
      </c>
      <c r="M37" s="60">
        <f t="shared" si="86"/>
      </c>
      <c r="N37" s="60">
        <f t="shared" si="87"/>
      </c>
      <c r="O37" s="60">
        <f t="shared" si="88"/>
      </c>
      <c r="P37" s="60">
        <f t="shared" si="89"/>
      </c>
      <c r="Q37" s="60">
        <f t="shared" si="90"/>
      </c>
      <c r="R37" s="60">
        <f t="shared" si="91"/>
      </c>
      <c r="S37" s="60">
        <f t="shared" si="92"/>
      </c>
      <c r="T37" s="60">
        <f t="shared" si="93"/>
      </c>
      <c r="U37" s="60">
        <f t="shared" si="94"/>
      </c>
      <c r="V37" s="61">
        <f t="shared" si="95"/>
      </c>
      <c r="W37" s="61">
        <f t="shared" si="120"/>
      </c>
      <c r="X37" s="61">
        <f t="shared" si="121"/>
      </c>
      <c r="Y37" s="60">
        <f t="shared" si="96"/>
      </c>
      <c r="Z37" s="137">
        <f t="shared" si="97"/>
      </c>
      <c r="AA37" s="135">
        <f t="shared" si="98"/>
      </c>
      <c r="AB37" s="135">
        <f t="shared" si="99"/>
      </c>
      <c r="AC37" s="135">
        <f t="shared" si="100"/>
      </c>
      <c r="AD37" s="135">
        <f t="shared" si="101"/>
      </c>
      <c r="AE37" s="136">
        <f t="shared" si="102"/>
      </c>
      <c r="AF37" s="135">
        <f t="shared" si="103"/>
      </c>
      <c r="AG37" s="123">
        <f t="shared" si="104"/>
      </c>
      <c r="AH37" s="123">
        <f t="shared" si="105"/>
      </c>
      <c r="AI37" s="123">
        <f t="shared" si="106"/>
      </c>
      <c r="AJ37" s="123">
        <f t="shared" si="107"/>
      </c>
      <c r="AK37" s="123">
        <f t="shared" si="108"/>
      </c>
      <c r="AL37" s="123">
        <f t="shared" si="109"/>
      </c>
      <c r="AM37" s="123">
        <f t="shared" si="110"/>
      </c>
      <c r="AN37" s="123">
        <f t="shared" si="111"/>
      </c>
      <c r="AO37" s="123">
        <f t="shared" si="112"/>
      </c>
      <c r="AP37" s="123">
        <f t="shared" si="113"/>
      </c>
      <c r="AQ37" s="123">
        <f t="shared" si="114"/>
      </c>
      <c r="AR37" s="123">
        <f t="shared" si="115"/>
      </c>
      <c r="AS37" s="123">
        <f t="shared" si="116"/>
      </c>
      <c r="AT37" s="93">
        <f t="shared" si="117"/>
      </c>
      <c r="AX37" s="328">
        <f t="shared" si="118"/>
      </c>
      <c r="AY37" s="328">
        <f t="shared" si="119"/>
      </c>
    </row>
    <row r="38" spans="1:51" ht="18" customHeight="1">
      <c r="A38" s="339"/>
      <c r="B38" s="202"/>
      <c r="C38" s="346"/>
      <c r="D38" s="203"/>
      <c r="E38" s="325"/>
      <c r="F38" s="206"/>
      <c r="G38" s="46"/>
      <c r="H38" s="46"/>
      <c r="I38" s="53"/>
      <c r="J38" s="200"/>
      <c r="K38" s="60">
        <f t="shared" si="84"/>
      </c>
      <c r="L38" s="60">
        <f t="shared" si="85"/>
      </c>
      <c r="M38" s="60">
        <f t="shared" si="86"/>
      </c>
      <c r="N38" s="60">
        <f t="shared" si="87"/>
      </c>
      <c r="O38" s="60">
        <f t="shared" si="88"/>
      </c>
      <c r="P38" s="60">
        <f t="shared" si="89"/>
      </c>
      <c r="Q38" s="60">
        <f t="shared" si="90"/>
      </c>
      <c r="R38" s="60">
        <f t="shared" si="91"/>
      </c>
      <c r="S38" s="60">
        <f t="shared" si="92"/>
      </c>
      <c r="T38" s="60">
        <f t="shared" si="93"/>
      </c>
      <c r="U38" s="60">
        <f t="shared" si="94"/>
      </c>
      <c r="V38" s="61">
        <f t="shared" si="95"/>
      </c>
      <c r="W38" s="61">
        <f t="shared" si="120"/>
      </c>
      <c r="X38" s="61">
        <f t="shared" si="121"/>
      </c>
      <c r="Y38" s="60">
        <f t="shared" si="96"/>
      </c>
      <c r="Z38" s="137">
        <f t="shared" si="97"/>
      </c>
      <c r="AA38" s="135">
        <f t="shared" si="98"/>
      </c>
      <c r="AB38" s="135">
        <f t="shared" si="99"/>
      </c>
      <c r="AC38" s="135">
        <f t="shared" si="100"/>
      </c>
      <c r="AD38" s="135">
        <f t="shared" si="101"/>
      </c>
      <c r="AE38" s="136">
        <f t="shared" si="102"/>
      </c>
      <c r="AF38" s="135">
        <f t="shared" si="103"/>
      </c>
      <c r="AG38" s="123">
        <f t="shared" si="104"/>
      </c>
      <c r="AH38" s="123">
        <f t="shared" si="105"/>
      </c>
      <c r="AI38" s="123">
        <f t="shared" si="106"/>
      </c>
      <c r="AJ38" s="123">
        <f t="shared" si="107"/>
      </c>
      <c r="AK38" s="123">
        <f t="shared" si="108"/>
      </c>
      <c r="AL38" s="123">
        <f t="shared" si="109"/>
      </c>
      <c r="AM38" s="123">
        <f t="shared" si="110"/>
      </c>
      <c r="AN38" s="123">
        <f t="shared" si="111"/>
      </c>
      <c r="AO38" s="123">
        <f t="shared" si="112"/>
      </c>
      <c r="AP38" s="123">
        <f t="shared" si="113"/>
      </c>
      <c r="AQ38" s="123">
        <f t="shared" si="114"/>
      </c>
      <c r="AR38" s="123">
        <f t="shared" si="115"/>
      </c>
      <c r="AS38" s="123">
        <f t="shared" si="116"/>
      </c>
      <c r="AT38" s="93">
        <f t="shared" si="117"/>
      </c>
      <c r="AX38" s="328">
        <f t="shared" si="118"/>
      </c>
      <c r="AY38" s="328">
        <f t="shared" si="119"/>
      </c>
    </row>
    <row r="39" spans="1:51" ht="18" customHeight="1">
      <c r="A39" s="339"/>
      <c r="B39" s="202"/>
      <c r="C39" s="346"/>
      <c r="D39" s="203"/>
      <c r="E39" s="325"/>
      <c r="F39" s="206"/>
      <c r="G39" s="46"/>
      <c r="H39" s="46"/>
      <c r="I39" s="53"/>
      <c r="J39" s="200"/>
      <c r="K39" s="60">
        <f t="shared" si="84"/>
      </c>
      <c r="L39" s="60">
        <f t="shared" si="85"/>
      </c>
      <c r="M39" s="60">
        <f t="shared" si="86"/>
      </c>
      <c r="N39" s="60">
        <f t="shared" si="87"/>
      </c>
      <c r="O39" s="60">
        <f t="shared" si="88"/>
      </c>
      <c r="P39" s="60">
        <f t="shared" si="89"/>
      </c>
      <c r="Q39" s="60">
        <f t="shared" si="90"/>
      </c>
      <c r="R39" s="60">
        <f t="shared" si="91"/>
      </c>
      <c r="S39" s="60">
        <f t="shared" si="92"/>
      </c>
      <c r="T39" s="60">
        <f t="shared" si="93"/>
      </c>
      <c r="U39" s="60">
        <f t="shared" si="94"/>
      </c>
      <c r="V39" s="61">
        <f t="shared" si="95"/>
      </c>
      <c r="W39" s="61">
        <f t="shared" si="120"/>
      </c>
      <c r="X39" s="61">
        <f t="shared" si="121"/>
      </c>
      <c r="Y39" s="60">
        <f t="shared" si="96"/>
      </c>
      <c r="Z39" s="137">
        <f t="shared" si="97"/>
      </c>
      <c r="AA39" s="135">
        <f t="shared" si="98"/>
      </c>
      <c r="AB39" s="135">
        <f t="shared" si="99"/>
      </c>
      <c r="AC39" s="135">
        <f t="shared" si="100"/>
      </c>
      <c r="AD39" s="135">
        <f t="shared" si="101"/>
      </c>
      <c r="AE39" s="136">
        <f t="shared" si="102"/>
      </c>
      <c r="AF39" s="135">
        <f t="shared" si="103"/>
      </c>
      <c r="AG39" s="123">
        <f t="shared" si="104"/>
      </c>
      <c r="AH39" s="123">
        <f t="shared" si="105"/>
      </c>
      <c r="AI39" s="123">
        <f t="shared" si="106"/>
      </c>
      <c r="AJ39" s="123">
        <f t="shared" si="107"/>
      </c>
      <c r="AK39" s="123">
        <f t="shared" si="108"/>
      </c>
      <c r="AL39" s="123">
        <f t="shared" si="109"/>
      </c>
      <c r="AM39" s="123">
        <f t="shared" si="110"/>
      </c>
      <c r="AN39" s="123">
        <f t="shared" si="111"/>
      </c>
      <c r="AO39" s="123">
        <f t="shared" si="112"/>
      </c>
      <c r="AP39" s="123">
        <f t="shared" si="113"/>
      </c>
      <c r="AQ39" s="123">
        <f t="shared" si="114"/>
      </c>
      <c r="AR39" s="123">
        <f t="shared" si="115"/>
      </c>
      <c r="AS39" s="123">
        <f t="shared" si="116"/>
      </c>
      <c r="AT39" s="93">
        <f t="shared" si="117"/>
      </c>
      <c r="AX39" s="328">
        <f t="shared" si="118"/>
      </c>
      <c r="AY39" s="328">
        <f t="shared" si="119"/>
      </c>
    </row>
    <row r="40" spans="1:51" ht="18" customHeight="1">
      <c r="A40" s="339"/>
      <c r="B40" s="202"/>
      <c r="C40" s="346"/>
      <c r="D40" s="203"/>
      <c r="E40" s="325"/>
      <c r="F40" s="206"/>
      <c r="G40" s="46"/>
      <c r="H40" s="46"/>
      <c r="I40" s="53"/>
      <c r="J40" s="200"/>
      <c r="K40" s="60">
        <f t="shared" si="84"/>
      </c>
      <c r="L40" s="60">
        <f t="shared" si="85"/>
      </c>
      <c r="M40" s="60">
        <f t="shared" si="86"/>
      </c>
      <c r="N40" s="60">
        <f t="shared" si="87"/>
      </c>
      <c r="O40" s="60">
        <f t="shared" si="88"/>
      </c>
      <c r="P40" s="60">
        <f t="shared" si="89"/>
      </c>
      <c r="Q40" s="60">
        <f t="shared" si="90"/>
      </c>
      <c r="R40" s="60">
        <f t="shared" si="91"/>
      </c>
      <c r="S40" s="60">
        <f t="shared" si="92"/>
      </c>
      <c r="T40" s="60">
        <f t="shared" si="93"/>
      </c>
      <c r="U40" s="60">
        <f t="shared" si="94"/>
      </c>
      <c r="V40" s="61">
        <f t="shared" si="95"/>
      </c>
      <c r="W40" s="61">
        <f t="shared" si="120"/>
      </c>
      <c r="X40" s="61">
        <f t="shared" si="121"/>
      </c>
      <c r="Y40" s="60">
        <f t="shared" si="96"/>
      </c>
      <c r="Z40" s="137">
        <f t="shared" si="97"/>
      </c>
      <c r="AA40" s="135">
        <f t="shared" si="98"/>
      </c>
      <c r="AB40" s="135">
        <f t="shared" si="99"/>
      </c>
      <c r="AC40" s="135">
        <f t="shared" si="100"/>
      </c>
      <c r="AD40" s="135">
        <f t="shared" si="101"/>
      </c>
      <c r="AE40" s="136">
        <f t="shared" si="102"/>
      </c>
      <c r="AF40" s="135">
        <f t="shared" si="103"/>
      </c>
      <c r="AG40" s="123">
        <f t="shared" si="104"/>
      </c>
      <c r="AH40" s="123">
        <f t="shared" si="105"/>
      </c>
      <c r="AI40" s="123">
        <f t="shared" si="106"/>
      </c>
      <c r="AJ40" s="123">
        <f t="shared" si="107"/>
      </c>
      <c r="AK40" s="123">
        <f t="shared" si="108"/>
      </c>
      <c r="AL40" s="123">
        <f t="shared" si="109"/>
      </c>
      <c r="AM40" s="123">
        <f t="shared" si="110"/>
      </c>
      <c r="AN40" s="123">
        <f t="shared" si="111"/>
      </c>
      <c r="AO40" s="123">
        <f t="shared" si="112"/>
      </c>
      <c r="AP40" s="123">
        <f t="shared" si="113"/>
      </c>
      <c r="AQ40" s="123">
        <f t="shared" si="114"/>
      </c>
      <c r="AR40" s="123">
        <f t="shared" si="115"/>
      </c>
      <c r="AS40" s="123">
        <f t="shared" si="116"/>
      </c>
      <c r="AT40" s="93">
        <f t="shared" si="117"/>
      </c>
      <c r="AX40" s="328">
        <f t="shared" si="118"/>
      </c>
      <c r="AY40" s="328">
        <f t="shared" si="119"/>
      </c>
    </row>
    <row r="41" spans="1:51" ht="18" customHeight="1">
      <c r="A41" s="339"/>
      <c r="B41" s="202"/>
      <c r="C41" s="346"/>
      <c r="D41" s="203"/>
      <c r="E41" s="325"/>
      <c r="F41" s="206"/>
      <c r="G41" s="46"/>
      <c r="H41" s="46"/>
      <c r="I41" s="53"/>
      <c r="J41" s="200"/>
      <c r="K41" s="60">
        <f t="shared" si="84"/>
      </c>
      <c r="L41" s="60">
        <f t="shared" si="85"/>
      </c>
      <c r="M41" s="60">
        <f t="shared" si="86"/>
      </c>
      <c r="N41" s="60">
        <f t="shared" si="87"/>
      </c>
      <c r="O41" s="60">
        <f t="shared" si="88"/>
      </c>
      <c r="P41" s="60">
        <f t="shared" si="89"/>
      </c>
      <c r="Q41" s="60">
        <f t="shared" si="90"/>
      </c>
      <c r="R41" s="60">
        <f t="shared" si="91"/>
      </c>
      <c r="S41" s="60">
        <f t="shared" si="92"/>
      </c>
      <c r="T41" s="60">
        <f t="shared" si="93"/>
      </c>
      <c r="U41" s="60">
        <f t="shared" si="94"/>
      </c>
      <c r="V41" s="61">
        <f t="shared" si="95"/>
      </c>
      <c r="W41" s="61">
        <f t="shared" si="120"/>
      </c>
      <c r="X41" s="61">
        <f t="shared" si="121"/>
      </c>
      <c r="Y41" s="60">
        <f t="shared" si="96"/>
      </c>
      <c r="Z41" s="137">
        <f t="shared" si="97"/>
      </c>
      <c r="AA41" s="135">
        <f t="shared" si="98"/>
      </c>
      <c r="AB41" s="135">
        <f t="shared" si="99"/>
      </c>
      <c r="AC41" s="135">
        <f t="shared" si="100"/>
      </c>
      <c r="AD41" s="135">
        <f t="shared" si="101"/>
      </c>
      <c r="AE41" s="136">
        <f t="shared" si="102"/>
      </c>
      <c r="AF41" s="135">
        <f t="shared" si="103"/>
      </c>
      <c r="AG41" s="123">
        <f t="shared" si="104"/>
      </c>
      <c r="AH41" s="123">
        <f t="shared" si="105"/>
      </c>
      <c r="AI41" s="123">
        <f t="shared" si="106"/>
      </c>
      <c r="AJ41" s="123">
        <f t="shared" si="107"/>
      </c>
      <c r="AK41" s="123">
        <f t="shared" si="108"/>
      </c>
      <c r="AL41" s="123">
        <f t="shared" si="109"/>
      </c>
      <c r="AM41" s="123">
        <f t="shared" si="110"/>
      </c>
      <c r="AN41" s="123">
        <f t="shared" si="111"/>
      </c>
      <c r="AO41" s="123">
        <f t="shared" si="112"/>
      </c>
      <c r="AP41" s="123">
        <f t="shared" si="113"/>
      </c>
      <c r="AQ41" s="123">
        <f t="shared" si="114"/>
      </c>
      <c r="AR41" s="123">
        <f t="shared" si="115"/>
      </c>
      <c r="AS41" s="123">
        <f t="shared" si="116"/>
      </c>
      <c r="AT41" s="93">
        <f t="shared" si="117"/>
      </c>
      <c r="AX41" s="328">
        <f t="shared" si="118"/>
      </c>
      <c r="AY41" s="328">
        <f t="shared" si="119"/>
      </c>
    </row>
    <row r="42" spans="1:51" ht="18" customHeight="1">
      <c r="A42" s="339"/>
      <c r="B42" s="202"/>
      <c r="C42" s="346"/>
      <c r="D42" s="203"/>
      <c r="E42" s="325"/>
      <c r="F42" s="207"/>
      <c r="G42" s="47"/>
      <c r="H42" s="46"/>
      <c r="I42" s="53"/>
      <c r="J42" s="200"/>
      <c r="K42" s="60">
        <f t="shared" si="84"/>
      </c>
      <c r="L42" s="60">
        <f t="shared" si="85"/>
      </c>
      <c r="M42" s="60">
        <f t="shared" si="86"/>
      </c>
      <c r="N42" s="60">
        <f t="shared" si="87"/>
      </c>
      <c r="O42" s="60">
        <f t="shared" si="88"/>
      </c>
      <c r="P42" s="60">
        <f t="shared" si="89"/>
      </c>
      <c r="Q42" s="60">
        <f t="shared" si="90"/>
      </c>
      <c r="R42" s="60">
        <f t="shared" si="91"/>
      </c>
      <c r="S42" s="60">
        <f t="shared" si="92"/>
      </c>
      <c r="T42" s="60">
        <f t="shared" si="93"/>
      </c>
      <c r="U42" s="60">
        <f t="shared" si="94"/>
      </c>
      <c r="V42" s="61">
        <f t="shared" si="95"/>
      </c>
      <c r="W42" s="61">
        <f t="shared" si="120"/>
      </c>
      <c r="X42" s="61">
        <f t="shared" si="121"/>
      </c>
      <c r="Y42" s="60">
        <f t="shared" si="96"/>
      </c>
      <c r="Z42" s="137">
        <f t="shared" si="97"/>
      </c>
      <c r="AA42" s="135">
        <f t="shared" si="98"/>
      </c>
      <c r="AB42" s="135">
        <f t="shared" si="99"/>
      </c>
      <c r="AC42" s="135">
        <f t="shared" si="100"/>
      </c>
      <c r="AD42" s="135">
        <f t="shared" si="101"/>
      </c>
      <c r="AE42" s="136">
        <f t="shared" si="102"/>
      </c>
      <c r="AF42" s="135">
        <f t="shared" si="103"/>
      </c>
      <c r="AG42" s="123">
        <f t="shared" si="104"/>
      </c>
      <c r="AH42" s="123">
        <f t="shared" si="105"/>
      </c>
      <c r="AI42" s="123">
        <f t="shared" si="106"/>
      </c>
      <c r="AJ42" s="123">
        <f t="shared" si="107"/>
      </c>
      <c r="AK42" s="123">
        <f t="shared" si="108"/>
      </c>
      <c r="AL42" s="123">
        <f t="shared" si="109"/>
      </c>
      <c r="AM42" s="123">
        <f t="shared" si="110"/>
      </c>
      <c r="AN42" s="123">
        <f t="shared" si="111"/>
      </c>
      <c r="AO42" s="123">
        <f t="shared" si="112"/>
      </c>
      <c r="AP42" s="123">
        <f t="shared" si="113"/>
      </c>
      <c r="AQ42" s="123">
        <f t="shared" si="114"/>
      </c>
      <c r="AR42" s="123">
        <f t="shared" si="115"/>
      </c>
      <c r="AS42" s="123">
        <f t="shared" si="116"/>
      </c>
      <c r="AT42" s="93">
        <f t="shared" si="117"/>
      </c>
      <c r="AX42" s="328">
        <f t="shared" si="118"/>
      </c>
      <c r="AY42" s="328">
        <f t="shared" si="119"/>
      </c>
    </row>
    <row r="43" spans="1:51" ht="18" customHeight="1">
      <c r="A43" s="40" t="s">
        <v>117</v>
      </c>
      <c r="B43" s="29"/>
      <c r="C43" s="41">
        <f>SUM(C34,C35,C36,C37,C38,C39,C40,C41,C42)</f>
        <v>0</v>
      </c>
      <c r="D43" s="36">
        <f>D30+C43</f>
        <v>0</v>
      </c>
      <c r="E43" s="327"/>
      <c r="F43" s="203"/>
      <c r="G43" s="49">
        <f>'Comptes Lots'!B7+'Comptes Lots'!B30+'Comptes Lots'!B53+'Comptes Lots'!B76+'Comptes Lots'!B99+'Comptes Lots'!B122+'Comptes Lots'!B145+'Comptes Lots'!B168</f>
        <v>0</v>
      </c>
      <c r="H43" s="41">
        <f>H30+'Comptes Lots'!I7+'Comptes Lots'!I30+'Comptes Lots'!I53+'Comptes Lots'!I76+'Comptes Lots'!I99+'Comptes Lots'!I122+'Comptes Lots'!I145+'Comptes Lots'!I168</f>
        <v>0</v>
      </c>
      <c r="I43" s="64"/>
      <c r="J43" s="40" t="s">
        <v>117</v>
      </c>
      <c r="K43" s="41">
        <f aca="true" t="shared" si="122" ref="K43:Q43">SUM(K34,K35,K36,K37,K38,K39,K40,K41,K42)</f>
        <v>0</v>
      </c>
      <c r="L43" s="41">
        <f t="shared" si="122"/>
        <v>0</v>
      </c>
      <c r="M43" s="41">
        <f t="shared" si="122"/>
        <v>0</v>
      </c>
      <c r="N43" s="41">
        <f t="shared" si="122"/>
        <v>0</v>
      </c>
      <c r="O43" s="41">
        <f t="shared" si="122"/>
        <v>0</v>
      </c>
      <c r="P43" s="41">
        <f t="shared" si="122"/>
        <v>0</v>
      </c>
      <c r="Q43" s="41">
        <f t="shared" si="122"/>
        <v>0</v>
      </c>
      <c r="R43" s="41">
        <f aca="true" t="shared" si="123" ref="R43:Y43">SUM(R34,R35,R36,R37,R38,R39,R40,R41,R42)</f>
        <v>0</v>
      </c>
      <c r="S43" s="41">
        <f t="shared" si="123"/>
        <v>0</v>
      </c>
      <c r="T43" s="41">
        <f t="shared" si="123"/>
        <v>0</v>
      </c>
      <c r="U43" s="41">
        <f t="shared" si="123"/>
        <v>0</v>
      </c>
      <c r="V43" s="42">
        <f t="shared" si="123"/>
        <v>0</v>
      </c>
      <c r="W43" s="42">
        <f t="shared" si="123"/>
        <v>0</v>
      </c>
      <c r="X43" s="42">
        <f t="shared" si="123"/>
        <v>0</v>
      </c>
      <c r="Y43" s="41">
        <f t="shared" si="123"/>
        <v>0</v>
      </c>
      <c r="Z43" s="133">
        <f aca="true" t="shared" si="124" ref="Z43:AT43">SUM(Z34,Z35,Z36,Z37,Z38,Z39,Z40,Z41,Z42)</f>
        <v>0</v>
      </c>
      <c r="AA43" s="133">
        <f t="shared" si="124"/>
        <v>0</v>
      </c>
      <c r="AB43" s="133">
        <f t="shared" si="124"/>
        <v>0</v>
      </c>
      <c r="AC43" s="133">
        <f t="shared" si="124"/>
        <v>0</v>
      </c>
      <c r="AD43" s="133">
        <f t="shared" si="124"/>
        <v>0</v>
      </c>
      <c r="AE43" s="134">
        <f t="shared" si="124"/>
        <v>0</v>
      </c>
      <c r="AF43" s="133">
        <f t="shared" si="124"/>
        <v>0</v>
      </c>
      <c r="AG43" s="133">
        <f t="shared" si="124"/>
        <v>0</v>
      </c>
      <c r="AH43" s="133">
        <f t="shared" si="124"/>
        <v>0</v>
      </c>
      <c r="AI43" s="133">
        <f t="shared" si="124"/>
        <v>0</v>
      </c>
      <c r="AJ43" s="133">
        <f t="shared" si="124"/>
        <v>0</v>
      </c>
      <c r="AK43" s="133">
        <f t="shared" si="124"/>
        <v>0</v>
      </c>
      <c r="AL43" s="133">
        <f t="shared" si="124"/>
        <v>0</v>
      </c>
      <c r="AM43" s="134">
        <f t="shared" si="124"/>
        <v>0</v>
      </c>
      <c r="AN43" s="133">
        <f t="shared" si="124"/>
        <v>0</v>
      </c>
      <c r="AO43" s="133">
        <f t="shared" si="124"/>
        <v>0</v>
      </c>
      <c r="AP43" s="133">
        <f t="shared" si="124"/>
        <v>0</v>
      </c>
      <c r="AQ43" s="133">
        <f t="shared" si="124"/>
        <v>0</v>
      </c>
      <c r="AR43" s="133">
        <f t="shared" si="124"/>
        <v>0</v>
      </c>
      <c r="AS43" s="133">
        <f t="shared" si="124"/>
        <v>0</v>
      </c>
      <c r="AT43" s="133">
        <f t="shared" si="124"/>
        <v>0</v>
      </c>
      <c r="AX43" s="329">
        <f>SUM(AX34,AX35,AX36,AX37,AX38,AX39,AX40,AX41,AX42)</f>
        <v>0</v>
      </c>
      <c r="AY43" s="329">
        <f>SUM(AY34,AY35,AY36,AY37,AY38,AY39,AY40,AY41,AY42)</f>
        <v>0</v>
      </c>
    </row>
    <row r="44" spans="1:38" ht="18" customHeight="1">
      <c r="A44" s="9" t="s">
        <v>438</v>
      </c>
      <c r="H44" s="54">
        <f>H1</f>
        <v>0</v>
      </c>
      <c r="J44" s="9" t="s">
        <v>438</v>
      </c>
      <c r="L44" s="11"/>
      <c r="M44" s="10"/>
      <c r="N44" s="11"/>
      <c r="O44" s="11"/>
      <c r="P44" s="54">
        <f>H44</f>
        <v>0</v>
      </c>
      <c r="Q44" s="9" t="s">
        <v>438</v>
      </c>
      <c r="R44" s="10"/>
      <c r="S44" s="10"/>
      <c r="T44" s="10"/>
      <c r="U44" s="11"/>
      <c r="V44" s="11"/>
      <c r="W44" s="11"/>
      <c r="X44" s="11"/>
      <c r="Y44" s="54">
        <f>H44</f>
        <v>0</v>
      </c>
      <c r="AL44" s="1"/>
    </row>
    <row r="45" spans="8:38" ht="18" customHeight="1">
      <c r="H45" s="54">
        <f>H2</f>
        <v>0</v>
      </c>
      <c r="J45" s="11"/>
      <c r="K45" s="11"/>
      <c r="L45" s="11"/>
      <c r="M45" s="10"/>
      <c r="N45" s="11"/>
      <c r="O45" s="11"/>
      <c r="P45" s="54">
        <f>H45</f>
        <v>0</v>
      </c>
      <c r="Q45" s="54"/>
      <c r="R45" s="10"/>
      <c r="S45" s="10"/>
      <c r="T45" s="10"/>
      <c r="U45" s="11"/>
      <c r="V45" s="11"/>
      <c r="W45" s="11"/>
      <c r="X45" s="11"/>
      <c r="Y45" s="54">
        <f>H45</f>
        <v>0</v>
      </c>
      <c r="AL45" s="1"/>
    </row>
    <row r="46" spans="1:38" ht="18" customHeight="1">
      <c r="A46" s="10" t="str">
        <f>A3</f>
        <v>Exercice 2015</v>
      </c>
      <c r="J46" s="62" t="str">
        <f>A46</f>
        <v>Exercice 2015</v>
      </c>
      <c r="K46" s="11"/>
      <c r="L46" s="11"/>
      <c r="M46" s="11"/>
      <c r="N46" s="11"/>
      <c r="O46" s="11"/>
      <c r="P46" s="11"/>
      <c r="Q46" s="10" t="str">
        <f>A46</f>
        <v>Exercice 2015</v>
      </c>
      <c r="R46" s="10"/>
      <c r="S46" s="11"/>
      <c r="T46" s="10"/>
      <c r="U46" s="11"/>
      <c r="V46" s="11"/>
      <c r="W46" s="11"/>
      <c r="X46" s="11"/>
      <c r="Y46" s="11"/>
      <c r="AL46" s="1"/>
    </row>
    <row r="47" spans="1:38" ht="18" customHeight="1">
      <c r="A47" s="10" t="s">
        <v>198</v>
      </c>
      <c r="H47" s="54"/>
      <c r="J47" s="10" t="s">
        <v>198</v>
      </c>
      <c r="Q47" s="10" t="s">
        <v>198</v>
      </c>
      <c r="Y47" s="54"/>
      <c r="AL47" s="1"/>
    </row>
    <row r="48" spans="4:38" ht="18" customHeight="1">
      <c r="D48" s="54" t="s">
        <v>11</v>
      </c>
      <c r="E48" s="54"/>
      <c r="F48" s="68">
        <f>F43</f>
        <v>0</v>
      </c>
      <c r="G48" s="68">
        <f>G43</f>
        <v>0</v>
      </c>
      <c r="H48" s="68">
        <f>H43</f>
        <v>0</v>
      </c>
      <c r="O48" s="11"/>
      <c r="P48" s="11"/>
      <c r="Q48" s="11"/>
      <c r="Y48" s="11"/>
      <c r="AL48" s="1"/>
    </row>
    <row r="49" spans="1:51" ht="18" customHeight="1">
      <c r="A49" s="39" t="s">
        <v>288</v>
      </c>
      <c r="B49" s="15"/>
      <c r="C49" s="15"/>
      <c r="D49" s="39"/>
      <c r="E49" s="39"/>
      <c r="F49" s="39" t="s">
        <v>324</v>
      </c>
      <c r="G49" s="15"/>
      <c r="H49" s="15"/>
      <c r="I49" s="52"/>
      <c r="J49" s="39" t="s">
        <v>288</v>
      </c>
      <c r="K49" s="39" t="s">
        <v>116</v>
      </c>
      <c r="L49" s="39"/>
      <c r="M49" s="15"/>
      <c r="N49" s="15"/>
      <c r="O49" s="14"/>
      <c r="P49" s="14"/>
      <c r="Q49" s="16"/>
      <c r="R49" s="39" t="s">
        <v>346</v>
      </c>
      <c r="S49" s="15"/>
      <c r="T49" s="15"/>
      <c r="U49" s="15"/>
      <c r="V49" s="14"/>
      <c r="W49" s="14"/>
      <c r="X49" s="14"/>
      <c r="Y49" s="16"/>
      <c r="Z49" s="127" t="s">
        <v>134</v>
      </c>
      <c r="AA49" s="128" t="s">
        <v>70</v>
      </c>
      <c r="AB49" s="103"/>
      <c r="AC49" s="103"/>
      <c r="AD49" s="103"/>
      <c r="AE49" s="129"/>
      <c r="AF49" s="129"/>
      <c r="AG49" s="92"/>
      <c r="AH49" s="92"/>
      <c r="AI49" s="92"/>
      <c r="AJ49" s="92"/>
      <c r="AK49" s="92"/>
      <c r="AL49" s="92"/>
      <c r="AM49" s="92"/>
      <c r="AN49" s="92"/>
      <c r="AO49" s="92"/>
      <c r="AP49" s="92"/>
      <c r="AQ49" s="92"/>
      <c r="AR49" s="92"/>
      <c r="AS49" s="92"/>
      <c r="AT49" s="95"/>
      <c r="AX49" s="93" t="s">
        <v>221</v>
      </c>
      <c r="AY49" s="93"/>
    </row>
    <row r="50" spans="1:51" ht="18" customHeight="1">
      <c r="A50" s="19" t="s">
        <v>292</v>
      </c>
      <c r="B50" s="19" t="s">
        <v>305</v>
      </c>
      <c r="C50" s="19" t="s">
        <v>320</v>
      </c>
      <c r="D50" s="35" t="s">
        <v>118</v>
      </c>
      <c r="E50" s="35" t="s">
        <v>326</v>
      </c>
      <c r="F50" s="35" t="s">
        <v>321</v>
      </c>
      <c r="G50" s="48" t="s">
        <v>323</v>
      </c>
      <c r="H50" s="43" t="s">
        <v>322</v>
      </c>
      <c r="I50" s="52"/>
      <c r="J50" s="19" t="s">
        <v>134</v>
      </c>
      <c r="K50" s="19" t="str">
        <f aca="true" t="shared" si="125" ref="K50:Q50">K7</f>
        <v>Générales</v>
      </c>
      <c r="L50" s="19" t="str">
        <f t="shared" si="125"/>
        <v>Escalier</v>
      </c>
      <c r="M50" s="19" t="str">
        <f t="shared" si="125"/>
        <v>Eau</v>
      </c>
      <c r="N50" s="19" t="str">
        <f t="shared" si="125"/>
        <v>Charge1</v>
      </c>
      <c r="O50" s="34" t="str">
        <f t="shared" si="125"/>
        <v>Charge2</v>
      </c>
      <c r="P50" s="34" t="str">
        <f t="shared" si="125"/>
        <v>Travaux</v>
      </c>
      <c r="Q50" s="19" t="str">
        <f t="shared" si="125"/>
        <v>Provision</v>
      </c>
      <c r="R50" s="19" t="s">
        <v>52</v>
      </c>
      <c r="S50" s="19" t="s">
        <v>408</v>
      </c>
      <c r="T50" s="19" t="s">
        <v>53</v>
      </c>
      <c r="U50" s="19" t="s">
        <v>300</v>
      </c>
      <c r="V50" s="13" t="s">
        <v>209</v>
      </c>
      <c r="W50" s="13" t="s">
        <v>469</v>
      </c>
      <c r="X50" s="13" t="s">
        <v>470</v>
      </c>
      <c r="Y50" s="34" t="s">
        <v>43</v>
      </c>
      <c r="Z50" s="130">
        <v>60</v>
      </c>
      <c r="AA50" s="130">
        <v>61</v>
      </c>
      <c r="AB50" s="130">
        <v>62</v>
      </c>
      <c r="AC50" s="130">
        <v>63</v>
      </c>
      <c r="AD50" s="130">
        <v>64</v>
      </c>
      <c r="AE50" s="131">
        <v>66</v>
      </c>
      <c r="AF50" s="132">
        <v>661</v>
      </c>
      <c r="AG50" s="138">
        <v>671</v>
      </c>
      <c r="AH50" s="132">
        <v>672</v>
      </c>
      <c r="AI50" s="132">
        <v>673</v>
      </c>
      <c r="AJ50" s="132">
        <v>677</v>
      </c>
      <c r="AK50" s="132">
        <v>68</v>
      </c>
      <c r="AL50" s="132">
        <v>701</v>
      </c>
      <c r="AM50" s="132">
        <v>702</v>
      </c>
      <c r="AN50" s="132">
        <v>703</v>
      </c>
      <c r="AO50" s="132">
        <v>704</v>
      </c>
      <c r="AP50" s="132">
        <v>711</v>
      </c>
      <c r="AQ50" s="132">
        <v>712</v>
      </c>
      <c r="AR50" s="132">
        <v>713</v>
      </c>
      <c r="AS50" s="132">
        <v>714</v>
      </c>
      <c r="AT50" s="130">
        <v>78</v>
      </c>
      <c r="AX50" s="93" t="s">
        <v>442</v>
      </c>
      <c r="AY50" s="93" t="s">
        <v>303</v>
      </c>
    </row>
    <row r="51" spans="1:51" ht="18" customHeight="1">
      <c r="A51" s="339"/>
      <c r="B51" s="202"/>
      <c r="C51" s="346"/>
      <c r="D51" s="203"/>
      <c r="E51" s="325"/>
      <c r="F51" s="204"/>
      <c r="G51" s="45"/>
      <c r="H51" s="45"/>
      <c r="I51" s="53"/>
      <c r="J51" s="200"/>
      <c r="K51" s="60">
        <f aca="true" t="shared" si="126" ref="K51:K59">IF(D51="Générales",C51,"")</f>
      </c>
      <c r="L51" s="60">
        <f aca="true" t="shared" si="127" ref="L51:L59">IF(D51="Escalier",C51,"")</f>
      </c>
      <c r="M51" s="60">
        <f aca="true" t="shared" si="128" ref="M51:M59">IF(D51="Eau",C51,"")</f>
      </c>
      <c r="N51" s="60">
        <f aca="true" t="shared" si="129" ref="N51:N59">IF(D51="Spéciales1",C51,"")</f>
      </c>
      <c r="O51" s="60">
        <f aca="true" t="shared" si="130" ref="O51:O59">IF(D51="Spéciales2",C51,"")</f>
      </c>
      <c r="P51" s="60">
        <f aca="true" t="shared" si="131" ref="P51:P59">IF(D51="Travaux",C51,"")</f>
      </c>
      <c r="Q51" s="60">
        <f aca="true" t="shared" si="132" ref="Q51:Q59">IF(D51="Provision",C51,"")</f>
      </c>
      <c r="R51" s="60">
        <f aca="true" t="shared" si="133" ref="R51:R59">IF(D51="Lot n°1",C51,"")</f>
      </c>
      <c r="S51" s="60">
        <f aca="true" t="shared" si="134" ref="S51:S59">IF(D51="Lot n°2",C51,"")</f>
      </c>
      <c r="T51" s="60">
        <f aca="true" t="shared" si="135" ref="T51:T59">IF(D51="Lot n°3",C51,"")</f>
      </c>
      <c r="U51" s="60">
        <f aca="true" t="shared" si="136" ref="U51:U59">IF(D51="Lot n°4",C51,"")</f>
      </c>
      <c r="V51" s="61">
        <f>IF(D51="Lot n°5",C51,"")</f>
      </c>
      <c r="W51" s="61">
        <f>IF(D51="Lot n°6",C51,"")</f>
      </c>
      <c r="X51" s="61">
        <f>IF(D51="Lot n°7",C51,"")</f>
      </c>
      <c r="Y51" s="60">
        <f aca="true" t="shared" si="137" ref="Y51:Y59">IF(D51="Lot n°M",C51,"")</f>
      </c>
      <c r="Z51" s="137">
        <f aca="true" t="shared" si="138" ref="Z51:Z59">IF(J51="60 Achat de matières et fournitures",C51,"")</f>
      </c>
      <c r="AA51" s="135">
        <f aca="true" t="shared" si="139" ref="AA51:AA59">IF(J51="61 Services extérieurs",C51,"")</f>
      </c>
      <c r="AB51" s="135">
        <f aca="true" t="shared" si="140" ref="AB51:AB59">IF(J51="62 Frais d'administration et honoraires",C51,"")</f>
      </c>
      <c r="AC51" s="135">
        <f aca="true" t="shared" si="141" ref="AC51:AC59">IF(J51="63 Impôts - taxes et versements assimilés",C51,"")</f>
      </c>
      <c r="AD51" s="135">
        <f aca="true" t="shared" si="142" ref="AD51:AD59">IF(J51="64 Frais de personnel",C51,"")</f>
      </c>
      <c r="AE51" s="136">
        <f aca="true" t="shared" si="143" ref="AE51:AE59">IF(J51="66 Charges financières des emprunts, agios",C51,"")</f>
      </c>
      <c r="AF51" s="135">
        <f aca="true" t="shared" si="144" ref="AF51:AF59">IF(J51="661 Rembourcement d'annuités d'emprunt",C51,"")</f>
      </c>
      <c r="AG51" s="123">
        <f aca="true" t="shared" si="145" ref="AG51:AG59">IF(J51="671 Travaux décidés par l'AG",C51,"")</f>
      </c>
      <c r="AH51" s="123">
        <f aca="true" t="shared" si="146" ref="AH51:AH59">IF(J51="672 Travaux urgents",C51,"")</f>
      </c>
      <c r="AI51" s="123">
        <f aca="true" t="shared" si="147" ref="AI51:AI59">IF(J51="673 Etudes techniques, diagnostic",C51,"")</f>
      </c>
      <c r="AJ51" s="123">
        <f aca="true" t="shared" si="148" ref="AJ51:AJ59">IF(J51="677 Pertes sur créances irrécouvrables",C51,"")</f>
      </c>
      <c r="AK51" s="123">
        <f aca="true" t="shared" si="149" ref="AK51:AK59">IF(J51="68 Dotations aux dépréciations sur créances douteuses",C51,"")</f>
      </c>
      <c r="AL51" s="123">
        <f aca="true" t="shared" si="150" ref="AL51:AL59">IF(J51="701 Provisions sur opérations courantes",C51,"")</f>
      </c>
      <c r="AM51" s="123">
        <f aca="true" t="shared" si="151" ref="AM51:AM59">IF(J51="702 Provisions pour travaux",C51,"")</f>
      </c>
      <c r="AN51" s="123">
        <f aca="true" t="shared" si="152" ref="AN51:AN59">IF(J51="703 Avances",C51,"")</f>
      </c>
      <c r="AO51" s="123">
        <f aca="true" t="shared" si="153" ref="AO51:AO59">IF(J51="704 Rembourcement d'emprunt",C51,"")</f>
      </c>
      <c r="AP51" s="123">
        <f aca="true" t="shared" si="154" ref="AP51:AP59">IF(J51="711 Subventions sur travaux",C51,"")</f>
      </c>
      <c r="AQ51" s="123">
        <f aca="true" t="shared" si="155" ref="AQ51:AQ59">IF(J51="712 Emprunts",C51,"")</f>
      </c>
      <c r="AR51" s="123">
        <f aca="true" t="shared" si="156" ref="AR51:AR59">IF(J51="713 Indemnités d'assurances",C51,"")</f>
      </c>
      <c r="AS51" s="123">
        <f aca="true" t="shared" si="157" ref="AS51:AS59">IF(J51="714 Produits divers",C51,"")</f>
      </c>
      <c r="AT51" s="93">
        <f aca="true" t="shared" si="158" ref="AT51:AT59">IF(J51="78 Reprises de dépréciations sur créance",C51,"")</f>
      </c>
      <c r="AX51" s="328">
        <f aca="true" t="shared" si="159" ref="AX51:AX59">IF(E51="Locataires",K51,"")</f>
      </c>
      <c r="AY51" s="328">
        <f aca="true" t="shared" si="160" ref="AY51:AY59">IF(E51="Locataires",L51,"")</f>
      </c>
    </row>
    <row r="52" spans="1:51" ht="18" customHeight="1">
      <c r="A52" s="339"/>
      <c r="B52" s="202"/>
      <c r="C52" s="346"/>
      <c r="D52" s="203"/>
      <c r="E52" s="325"/>
      <c r="F52" s="205"/>
      <c r="G52" s="46"/>
      <c r="H52" s="46"/>
      <c r="I52" s="53"/>
      <c r="J52" s="200"/>
      <c r="K52" s="60">
        <f t="shared" si="126"/>
      </c>
      <c r="L52" s="60">
        <f t="shared" si="127"/>
      </c>
      <c r="M52" s="60">
        <f t="shared" si="128"/>
      </c>
      <c r="N52" s="60">
        <f t="shared" si="129"/>
      </c>
      <c r="O52" s="60">
        <f t="shared" si="130"/>
      </c>
      <c r="P52" s="60">
        <f t="shared" si="131"/>
      </c>
      <c r="Q52" s="60">
        <f t="shared" si="132"/>
      </c>
      <c r="R52" s="60">
        <f t="shared" si="133"/>
      </c>
      <c r="S52" s="60">
        <f t="shared" si="134"/>
      </c>
      <c r="T52" s="60">
        <f t="shared" si="135"/>
      </c>
      <c r="U52" s="60">
        <f t="shared" si="136"/>
      </c>
      <c r="V52" s="61">
        <f aca="true" t="shared" si="161" ref="V52:V59">IF(D52="Lot n°5",C52,"")</f>
      </c>
      <c r="W52" s="61">
        <f aca="true" t="shared" si="162" ref="W52:W59">IF(D52="Lot n°6",C52,"")</f>
      </c>
      <c r="X52" s="61">
        <f aca="true" t="shared" si="163" ref="X52:X59">IF(D52="Lot n°7",C52,"")</f>
      </c>
      <c r="Y52" s="60">
        <f t="shared" si="137"/>
      </c>
      <c r="Z52" s="137">
        <f t="shared" si="138"/>
      </c>
      <c r="AA52" s="135">
        <f t="shared" si="139"/>
      </c>
      <c r="AB52" s="135">
        <f t="shared" si="140"/>
      </c>
      <c r="AC52" s="135">
        <f t="shared" si="141"/>
      </c>
      <c r="AD52" s="135">
        <f t="shared" si="142"/>
      </c>
      <c r="AE52" s="136">
        <f t="shared" si="143"/>
      </c>
      <c r="AF52" s="135">
        <f t="shared" si="144"/>
      </c>
      <c r="AG52" s="123">
        <f t="shared" si="145"/>
      </c>
      <c r="AH52" s="123">
        <f t="shared" si="146"/>
      </c>
      <c r="AI52" s="123">
        <f t="shared" si="147"/>
      </c>
      <c r="AJ52" s="123">
        <f t="shared" si="148"/>
      </c>
      <c r="AK52" s="123">
        <f t="shared" si="149"/>
      </c>
      <c r="AL52" s="123">
        <f t="shared" si="150"/>
      </c>
      <c r="AM52" s="123">
        <f t="shared" si="151"/>
      </c>
      <c r="AN52" s="123">
        <f t="shared" si="152"/>
      </c>
      <c r="AO52" s="123">
        <f t="shared" si="153"/>
      </c>
      <c r="AP52" s="123">
        <f t="shared" si="154"/>
      </c>
      <c r="AQ52" s="123">
        <f t="shared" si="155"/>
      </c>
      <c r="AR52" s="123">
        <f t="shared" si="156"/>
      </c>
      <c r="AS52" s="123">
        <f t="shared" si="157"/>
      </c>
      <c r="AT52" s="93">
        <f t="shared" si="158"/>
      </c>
      <c r="AX52" s="328">
        <f t="shared" si="159"/>
      </c>
      <c r="AY52" s="328">
        <f t="shared" si="160"/>
      </c>
    </row>
    <row r="53" spans="1:51" ht="18" customHeight="1">
      <c r="A53" s="339"/>
      <c r="B53" s="202"/>
      <c r="C53" s="346"/>
      <c r="D53" s="203"/>
      <c r="E53" s="325"/>
      <c r="F53" s="205"/>
      <c r="G53" s="46"/>
      <c r="H53" s="46"/>
      <c r="I53" s="53"/>
      <c r="J53" s="200"/>
      <c r="K53" s="60">
        <f t="shared" si="126"/>
      </c>
      <c r="L53" s="60">
        <f t="shared" si="127"/>
      </c>
      <c r="M53" s="60">
        <f t="shared" si="128"/>
      </c>
      <c r="N53" s="60">
        <f t="shared" si="129"/>
      </c>
      <c r="O53" s="60">
        <f t="shared" si="130"/>
      </c>
      <c r="P53" s="60">
        <f t="shared" si="131"/>
      </c>
      <c r="Q53" s="60">
        <f t="shared" si="132"/>
      </c>
      <c r="R53" s="60">
        <f t="shared" si="133"/>
      </c>
      <c r="S53" s="60">
        <f t="shared" si="134"/>
      </c>
      <c r="T53" s="60">
        <f t="shared" si="135"/>
      </c>
      <c r="U53" s="60">
        <f t="shared" si="136"/>
      </c>
      <c r="V53" s="61">
        <f t="shared" si="161"/>
      </c>
      <c r="W53" s="61">
        <f t="shared" si="162"/>
      </c>
      <c r="X53" s="61">
        <f t="shared" si="163"/>
      </c>
      <c r="Y53" s="60">
        <f t="shared" si="137"/>
      </c>
      <c r="Z53" s="137">
        <f t="shared" si="138"/>
      </c>
      <c r="AA53" s="135">
        <f t="shared" si="139"/>
      </c>
      <c r="AB53" s="135">
        <f t="shared" si="140"/>
      </c>
      <c r="AC53" s="135">
        <f t="shared" si="141"/>
      </c>
      <c r="AD53" s="135">
        <f t="shared" si="142"/>
      </c>
      <c r="AE53" s="136">
        <f t="shared" si="143"/>
      </c>
      <c r="AF53" s="135">
        <f t="shared" si="144"/>
      </c>
      <c r="AG53" s="123">
        <f t="shared" si="145"/>
      </c>
      <c r="AH53" s="123">
        <f t="shared" si="146"/>
      </c>
      <c r="AI53" s="123">
        <f t="shared" si="147"/>
      </c>
      <c r="AJ53" s="123">
        <f t="shared" si="148"/>
      </c>
      <c r="AK53" s="123">
        <f t="shared" si="149"/>
      </c>
      <c r="AL53" s="123">
        <f t="shared" si="150"/>
      </c>
      <c r="AM53" s="123">
        <f t="shared" si="151"/>
      </c>
      <c r="AN53" s="123">
        <f t="shared" si="152"/>
      </c>
      <c r="AO53" s="123">
        <f t="shared" si="153"/>
      </c>
      <c r="AP53" s="123">
        <f t="shared" si="154"/>
      </c>
      <c r="AQ53" s="123">
        <f t="shared" si="155"/>
      </c>
      <c r="AR53" s="123">
        <f t="shared" si="156"/>
      </c>
      <c r="AS53" s="123">
        <f t="shared" si="157"/>
      </c>
      <c r="AT53" s="93">
        <f t="shared" si="158"/>
      </c>
      <c r="AX53" s="328">
        <f t="shared" si="159"/>
      </c>
      <c r="AY53" s="328">
        <f t="shared" si="160"/>
      </c>
    </row>
    <row r="54" spans="1:51" ht="18" customHeight="1">
      <c r="A54" s="339"/>
      <c r="B54" s="202"/>
      <c r="C54" s="346"/>
      <c r="D54" s="203"/>
      <c r="E54" s="325"/>
      <c r="F54" s="205"/>
      <c r="G54" s="46"/>
      <c r="H54" s="46"/>
      <c r="I54" s="53"/>
      <c r="J54" s="200"/>
      <c r="K54" s="60">
        <f t="shared" si="126"/>
      </c>
      <c r="L54" s="60">
        <f t="shared" si="127"/>
      </c>
      <c r="M54" s="60">
        <f t="shared" si="128"/>
      </c>
      <c r="N54" s="60">
        <f t="shared" si="129"/>
      </c>
      <c r="O54" s="60">
        <f t="shared" si="130"/>
      </c>
      <c r="P54" s="60">
        <f t="shared" si="131"/>
      </c>
      <c r="Q54" s="60">
        <f t="shared" si="132"/>
      </c>
      <c r="R54" s="60">
        <f t="shared" si="133"/>
      </c>
      <c r="S54" s="60">
        <f t="shared" si="134"/>
      </c>
      <c r="T54" s="60">
        <f t="shared" si="135"/>
      </c>
      <c r="U54" s="60">
        <f t="shared" si="136"/>
      </c>
      <c r="V54" s="61">
        <f t="shared" si="161"/>
      </c>
      <c r="W54" s="61">
        <f t="shared" si="162"/>
      </c>
      <c r="X54" s="61">
        <f t="shared" si="163"/>
      </c>
      <c r="Y54" s="60">
        <f t="shared" si="137"/>
      </c>
      <c r="Z54" s="137">
        <f t="shared" si="138"/>
      </c>
      <c r="AA54" s="135">
        <f t="shared" si="139"/>
      </c>
      <c r="AB54" s="135">
        <f t="shared" si="140"/>
      </c>
      <c r="AC54" s="135">
        <f t="shared" si="141"/>
      </c>
      <c r="AD54" s="135">
        <f t="shared" si="142"/>
      </c>
      <c r="AE54" s="136">
        <f t="shared" si="143"/>
      </c>
      <c r="AF54" s="135">
        <f t="shared" si="144"/>
      </c>
      <c r="AG54" s="123">
        <f t="shared" si="145"/>
      </c>
      <c r="AH54" s="123">
        <f t="shared" si="146"/>
      </c>
      <c r="AI54" s="123">
        <f t="shared" si="147"/>
      </c>
      <c r="AJ54" s="123">
        <f t="shared" si="148"/>
      </c>
      <c r="AK54" s="123">
        <f t="shared" si="149"/>
      </c>
      <c r="AL54" s="123">
        <f t="shared" si="150"/>
      </c>
      <c r="AM54" s="123">
        <f t="shared" si="151"/>
      </c>
      <c r="AN54" s="123">
        <f t="shared" si="152"/>
      </c>
      <c r="AO54" s="123">
        <f t="shared" si="153"/>
      </c>
      <c r="AP54" s="123">
        <f t="shared" si="154"/>
      </c>
      <c r="AQ54" s="123">
        <f t="shared" si="155"/>
      </c>
      <c r="AR54" s="123">
        <f t="shared" si="156"/>
      </c>
      <c r="AS54" s="123">
        <f t="shared" si="157"/>
      </c>
      <c r="AT54" s="93">
        <f t="shared" si="158"/>
      </c>
      <c r="AX54" s="328">
        <f t="shared" si="159"/>
      </c>
      <c r="AY54" s="328">
        <f t="shared" si="160"/>
      </c>
    </row>
    <row r="55" spans="1:51" ht="18" customHeight="1">
      <c r="A55" s="339"/>
      <c r="B55" s="202"/>
      <c r="C55" s="346"/>
      <c r="D55" s="203"/>
      <c r="E55" s="325"/>
      <c r="F55" s="205"/>
      <c r="G55" s="46"/>
      <c r="H55" s="46"/>
      <c r="I55" s="53"/>
      <c r="J55" s="200"/>
      <c r="K55" s="60">
        <f t="shared" si="126"/>
      </c>
      <c r="L55" s="60">
        <f t="shared" si="127"/>
      </c>
      <c r="M55" s="60">
        <f t="shared" si="128"/>
      </c>
      <c r="N55" s="60">
        <f t="shared" si="129"/>
      </c>
      <c r="O55" s="60">
        <f t="shared" si="130"/>
      </c>
      <c r="P55" s="60">
        <f t="shared" si="131"/>
      </c>
      <c r="Q55" s="60">
        <f t="shared" si="132"/>
      </c>
      <c r="R55" s="60">
        <f t="shared" si="133"/>
      </c>
      <c r="S55" s="60">
        <f t="shared" si="134"/>
      </c>
      <c r="T55" s="60">
        <f t="shared" si="135"/>
      </c>
      <c r="U55" s="60">
        <f t="shared" si="136"/>
      </c>
      <c r="V55" s="61">
        <f t="shared" si="161"/>
      </c>
      <c r="W55" s="61">
        <f t="shared" si="162"/>
      </c>
      <c r="X55" s="61">
        <f t="shared" si="163"/>
      </c>
      <c r="Y55" s="60">
        <f t="shared" si="137"/>
      </c>
      <c r="Z55" s="137">
        <f t="shared" si="138"/>
      </c>
      <c r="AA55" s="135">
        <f t="shared" si="139"/>
      </c>
      <c r="AB55" s="135">
        <f t="shared" si="140"/>
      </c>
      <c r="AC55" s="135">
        <f t="shared" si="141"/>
      </c>
      <c r="AD55" s="135">
        <f t="shared" si="142"/>
      </c>
      <c r="AE55" s="136">
        <f t="shared" si="143"/>
      </c>
      <c r="AF55" s="135">
        <f t="shared" si="144"/>
      </c>
      <c r="AG55" s="123">
        <f t="shared" si="145"/>
      </c>
      <c r="AH55" s="123">
        <f t="shared" si="146"/>
      </c>
      <c r="AI55" s="123">
        <f t="shared" si="147"/>
      </c>
      <c r="AJ55" s="123">
        <f t="shared" si="148"/>
      </c>
      <c r="AK55" s="123">
        <f t="shared" si="149"/>
      </c>
      <c r="AL55" s="123">
        <f t="shared" si="150"/>
      </c>
      <c r="AM55" s="123">
        <f t="shared" si="151"/>
      </c>
      <c r="AN55" s="123">
        <f t="shared" si="152"/>
      </c>
      <c r="AO55" s="123">
        <f t="shared" si="153"/>
      </c>
      <c r="AP55" s="123">
        <f t="shared" si="154"/>
      </c>
      <c r="AQ55" s="123">
        <f t="shared" si="155"/>
      </c>
      <c r="AR55" s="123">
        <f t="shared" si="156"/>
      </c>
      <c r="AS55" s="123">
        <f t="shared" si="157"/>
      </c>
      <c r="AT55" s="93">
        <f t="shared" si="158"/>
      </c>
      <c r="AX55" s="328">
        <f t="shared" si="159"/>
      </c>
      <c r="AY55" s="328">
        <f t="shared" si="160"/>
      </c>
    </row>
    <row r="56" spans="1:51" ht="18" customHeight="1">
      <c r="A56" s="339"/>
      <c r="B56" s="202"/>
      <c r="C56" s="346"/>
      <c r="D56" s="203"/>
      <c r="E56" s="325"/>
      <c r="F56" s="205"/>
      <c r="G56" s="46"/>
      <c r="H56" s="46"/>
      <c r="I56" s="53"/>
      <c r="J56" s="200"/>
      <c r="K56" s="60">
        <f t="shared" si="126"/>
      </c>
      <c r="L56" s="60">
        <f t="shared" si="127"/>
      </c>
      <c r="M56" s="60">
        <f t="shared" si="128"/>
      </c>
      <c r="N56" s="60">
        <f t="shared" si="129"/>
      </c>
      <c r="O56" s="60">
        <f t="shared" si="130"/>
      </c>
      <c r="P56" s="60">
        <f t="shared" si="131"/>
      </c>
      <c r="Q56" s="60">
        <f t="shared" si="132"/>
      </c>
      <c r="R56" s="60">
        <f t="shared" si="133"/>
      </c>
      <c r="S56" s="60">
        <f t="shared" si="134"/>
      </c>
      <c r="T56" s="60">
        <f t="shared" si="135"/>
      </c>
      <c r="U56" s="60">
        <f t="shared" si="136"/>
      </c>
      <c r="V56" s="61">
        <f t="shared" si="161"/>
      </c>
      <c r="W56" s="61">
        <f t="shared" si="162"/>
      </c>
      <c r="X56" s="61">
        <f t="shared" si="163"/>
      </c>
      <c r="Y56" s="60">
        <f t="shared" si="137"/>
      </c>
      <c r="Z56" s="137">
        <f t="shared" si="138"/>
      </c>
      <c r="AA56" s="135">
        <f t="shared" si="139"/>
      </c>
      <c r="AB56" s="135">
        <f t="shared" si="140"/>
      </c>
      <c r="AC56" s="135">
        <f t="shared" si="141"/>
      </c>
      <c r="AD56" s="135">
        <f t="shared" si="142"/>
      </c>
      <c r="AE56" s="136">
        <f t="shared" si="143"/>
      </c>
      <c r="AF56" s="135">
        <f t="shared" si="144"/>
      </c>
      <c r="AG56" s="123">
        <f t="shared" si="145"/>
      </c>
      <c r="AH56" s="123">
        <f t="shared" si="146"/>
      </c>
      <c r="AI56" s="123">
        <f t="shared" si="147"/>
      </c>
      <c r="AJ56" s="123">
        <f t="shared" si="148"/>
      </c>
      <c r="AK56" s="123">
        <f t="shared" si="149"/>
      </c>
      <c r="AL56" s="123">
        <f t="shared" si="150"/>
      </c>
      <c r="AM56" s="123">
        <f t="shared" si="151"/>
      </c>
      <c r="AN56" s="123">
        <f t="shared" si="152"/>
      </c>
      <c r="AO56" s="123">
        <f t="shared" si="153"/>
      </c>
      <c r="AP56" s="123">
        <f t="shared" si="154"/>
      </c>
      <c r="AQ56" s="123">
        <f t="shared" si="155"/>
      </c>
      <c r="AR56" s="123">
        <f t="shared" si="156"/>
      </c>
      <c r="AS56" s="123">
        <f t="shared" si="157"/>
      </c>
      <c r="AT56" s="93">
        <f t="shared" si="158"/>
      </c>
      <c r="AX56" s="328">
        <f t="shared" si="159"/>
      </c>
      <c r="AY56" s="328">
        <f t="shared" si="160"/>
      </c>
    </row>
    <row r="57" spans="1:51" ht="18" customHeight="1">
      <c r="A57" s="339"/>
      <c r="B57" s="202"/>
      <c r="C57" s="346"/>
      <c r="D57" s="203"/>
      <c r="E57" s="325"/>
      <c r="F57" s="206"/>
      <c r="G57" s="46"/>
      <c r="H57" s="46"/>
      <c r="I57" s="53"/>
      <c r="J57" s="200"/>
      <c r="K57" s="60">
        <f t="shared" si="126"/>
      </c>
      <c r="L57" s="60">
        <f t="shared" si="127"/>
      </c>
      <c r="M57" s="60">
        <f t="shared" si="128"/>
      </c>
      <c r="N57" s="60">
        <f t="shared" si="129"/>
      </c>
      <c r="O57" s="60">
        <f t="shared" si="130"/>
      </c>
      <c r="P57" s="60">
        <f t="shared" si="131"/>
      </c>
      <c r="Q57" s="60">
        <f t="shared" si="132"/>
      </c>
      <c r="R57" s="60">
        <f t="shared" si="133"/>
      </c>
      <c r="S57" s="60">
        <f t="shared" si="134"/>
      </c>
      <c r="T57" s="60">
        <f t="shared" si="135"/>
      </c>
      <c r="U57" s="60">
        <f t="shared" si="136"/>
      </c>
      <c r="V57" s="61">
        <f t="shared" si="161"/>
      </c>
      <c r="W57" s="61">
        <f t="shared" si="162"/>
      </c>
      <c r="X57" s="61">
        <f t="shared" si="163"/>
      </c>
      <c r="Y57" s="60">
        <f t="shared" si="137"/>
      </c>
      <c r="Z57" s="137">
        <f t="shared" si="138"/>
      </c>
      <c r="AA57" s="135">
        <f t="shared" si="139"/>
      </c>
      <c r="AB57" s="135">
        <f t="shared" si="140"/>
      </c>
      <c r="AC57" s="135">
        <f t="shared" si="141"/>
      </c>
      <c r="AD57" s="135">
        <f t="shared" si="142"/>
      </c>
      <c r="AE57" s="136">
        <f t="shared" si="143"/>
      </c>
      <c r="AF57" s="135">
        <f t="shared" si="144"/>
      </c>
      <c r="AG57" s="123">
        <f t="shared" si="145"/>
      </c>
      <c r="AH57" s="123">
        <f t="shared" si="146"/>
      </c>
      <c r="AI57" s="123">
        <f t="shared" si="147"/>
      </c>
      <c r="AJ57" s="123">
        <f t="shared" si="148"/>
      </c>
      <c r="AK57" s="123">
        <f t="shared" si="149"/>
      </c>
      <c r="AL57" s="123">
        <f t="shared" si="150"/>
      </c>
      <c r="AM57" s="123">
        <f t="shared" si="151"/>
      </c>
      <c r="AN57" s="123">
        <f t="shared" si="152"/>
      </c>
      <c r="AO57" s="123">
        <f t="shared" si="153"/>
      </c>
      <c r="AP57" s="123">
        <f t="shared" si="154"/>
      </c>
      <c r="AQ57" s="123">
        <f t="shared" si="155"/>
      </c>
      <c r="AR57" s="123">
        <f t="shared" si="156"/>
      </c>
      <c r="AS57" s="123">
        <f t="shared" si="157"/>
      </c>
      <c r="AT57" s="93">
        <f t="shared" si="158"/>
      </c>
      <c r="AX57" s="328">
        <f t="shared" si="159"/>
      </c>
      <c r="AY57" s="328">
        <f t="shared" si="160"/>
      </c>
    </row>
    <row r="58" spans="1:51" ht="18" customHeight="1">
      <c r="A58" s="339"/>
      <c r="B58" s="202"/>
      <c r="C58" s="346"/>
      <c r="D58" s="203"/>
      <c r="E58" s="325"/>
      <c r="F58" s="206"/>
      <c r="G58" s="46"/>
      <c r="H58" s="46"/>
      <c r="I58" s="53"/>
      <c r="J58" s="200"/>
      <c r="K58" s="60">
        <f t="shared" si="126"/>
      </c>
      <c r="L58" s="60">
        <f t="shared" si="127"/>
      </c>
      <c r="M58" s="60">
        <f t="shared" si="128"/>
      </c>
      <c r="N58" s="60">
        <f t="shared" si="129"/>
      </c>
      <c r="O58" s="60">
        <f t="shared" si="130"/>
      </c>
      <c r="P58" s="60">
        <f t="shared" si="131"/>
      </c>
      <c r="Q58" s="60">
        <f t="shared" si="132"/>
      </c>
      <c r="R58" s="60">
        <f t="shared" si="133"/>
      </c>
      <c r="S58" s="60">
        <f t="shared" si="134"/>
      </c>
      <c r="T58" s="60">
        <f t="shared" si="135"/>
      </c>
      <c r="U58" s="60">
        <f t="shared" si="136"/>
      </c>
      <c r="V58" s="61">
        <f t="shared" si="161"/>
      </c>
      <c r="W58" s="61">
        <f t="shared" si="162"/>
      </c>
      <c r="X58" s="61">
        <f t="shared" si="163"/>
      </c>
      <c r="Y58" s="60">
        <f t="shared" si="137"/>
      </c>
      <c r="Z58" s="137">
        <f t="shared" si="138"/>
      </c>
      <c r="AA58" s="135">
        <f t="shared" si="139"/>
      </c>
      <c r="AB58" s="135">
        <f t="shared" si="140"/>
      </c>
      <c r="AC58" s="135">
        <f t="shared" si="141"/>
      </c>
      <c r="AD58" s="135">
        <f t="shared" si="142"/>
      </c>
      <c r="AE58" s="136">
        <f t="shared" si="143"/>
      </c>
      <c r="AF58" s="135">
        <f t="shared" si="144"/>
      </c>
      <c r="AG58" s="123">
        <f t="shared" si="145"/>
      </c>
      <c r="AH58" s="123">
        <f t="shared" si="146"/>
      </c>
      <c r="AI58" s="123">
        <f t="shared" si="147"/>
      </c>
      <c r="AJ58" s="123">
        <f t="shared" si="148"/>
      </c>
      <c r="AK58" s="123">
        <f t="shared" si="149"/>
      </c>
      <c r="AL58" s="123">
        <f t="shared" si="150"/>
      </c>
      <c r="AM58" s="123">
        <f t="shared" si="151"/>
      </c>
      <c r="AN58" s="123">
        <f t="shared" si="152"/>
      </c>
      <c r="AO58" s="123">
        <f t="shared" si="153"/>
      </c>
      <c r="AP58" s="123">
        <f t="shared" si="154"/>
      </c>
      <c r="AQ58" s="123">
        <f t="shared" si="155"/>
      </c>
      <c r="AR58" s="123">
        <f t="shared" si="156"/>
      </c>
      <c r="AS58" s="123">
        <f t="shared" si="157"/>
      </c>
      <c r="AT58" s="93">
        <f t="shared" si="158"/>
      </c>
      <c r="AX58" s="328">
        <f t="shared" si="159"/>
      </c>
      <c r="AY58" s="328">
        <f t="shared" si="160"/>
      </c>
    </row>
    <row r="59" spans="1:51" ht="18" customHeight="1">
      <c r="A59" s="339"/>
      <c r="B59" s="202"/>
      <c r="C59" s="346"/>
      <c r="D59" s="203"/>
      <c r="E59" s="325"/>
      <c r="F59" s="207"/>
      <c r="G59" s="47"/>
      <c r="H59" s="46"/>
      <c r="I59" s="53"/>
      <c r="J59" s="200"/>
      <c r="K59" s="60">
        <f t="shared" si="126"/>
      </c>
      <c r="L59" s="60">
        <f t="shared" si="127"/>
      </c>
      <c r="M59" s="60">
        <f t="shared" si="128"/>
      </c>
      <c r="N59" s="60">
        <f t="shared" si="129"/>
      </c>
      <c r="O59" s="60">
        <f t="shared" si="130"/>
      </c>
      <c r="P59" s="60">
        <f t="shared" si="131"/>
      </c>
      <c r="Q59" s="60">
        <f t="shared" si="132"/>
      </c>
      <c r="R59" s="60">
        <f t="shared" si="133"/>
      </c>
      <c r="S59" s="60">
        <f t="shared" si="134"/>
      </c>
      <c r="T59" s="60">
        <f t="shared" si="135"/>
      </c>
      <c r="U59" s="60">
        <f t="shared" si="136"/>
      </c>
      <c r="V59" s="61">
        <f t="shared" si="161"/>
      </c>
      <c r="W59" s="61">
        <f t="shared" si="162"/>
      </c>
      <c r="X59" s="61">
        <f t="shared" si="163"/>
      </c>
      <c r="Y59" s="60">
        <f t="shared" si="137"/>
      </c>
      <c r="Z59" s="137">
        <f t="shared" si="138"/>
      </c>
      <c r="AA59" s="135">
        <f t="shared" si="139"/>
      </c>
      <c r="AB59" s="135">
        <f t="shared" si="140"/>
      </c>
      <c r="AC59" s="135">
        <f t="shared" si="141"/>
      </c>
      <c r="AD59" s="135">
        <f t="shared" si="142"/>
      </c>
      <c r="AE59" s="136">
        <f t="shared" si="143"/>
      </c>
      <c r="AF59" s="135">
        <f t="shared" si="144"/>
      </c>
      <c r="AG59" s="123">
        <f t="shared" si="145"/>
      </c>
      <c r="AH59" s="123">
        <f t="shared" si="146"/>
      </c>
      <c r="AI59" s="123">
        <f t="shared" si="147"/>
      </c>
      <c r="AJ59" s="123">
        <f t="shared" si="148"/>
      </c>
      <c r="AK59" s="123">
        <f t="shared" si="149"/>
      </c>
      <c r="AL59" s="123">
        <f t="shared" si="150"/>
      </c>
      <c r="AM59" s="123">
        <f t="shared" si="151"/>
      </c>
      <c r="AN59" s="123">
        <f t="shared" si="152"/>
      </c>
      <c r="AO59" s="123">
        <f t="shared" si="153"/>
      </c>
      <c r="AP59" s="123">
        <f t="shared" si="154"/>
      </c>
      <c r="AQ59" s="123">
        <f t="shared" si="155"/>
      </c>
      <c r="AR59" s="123">
        <f t="shared" si="156"/>
      </c>
      <c r="AS59" s="123">
        <f t="shared" si="157"/>
      </c>
      <c r="AT59" s="93">
        <f t="shared" si="158"/>
      </c>
      <c r="AX59" s="328">
        <f t="shared" si="159"/>
      </c>
      <c r="AY59" s="328">
        <f t="shared" si="160"/>
      </c>
    </row>
    <row r="60" spans="1:51" ht="18" customHeight="1">
      <c r="A60" s="40" t="s">
        <v>117</v>
      </c>
      <c r="B60" s="29"/>
      <c r="C60" s="41">
        <f>SUM(C51,C52,C53,C54,C55,C56,C57,C58,C59)</f>
        <v>0</v>
      </c>
      <c r="D60" s="36">
        <f>D43+C60</f>
        <v>0</v>
      </c>
      <c r="E60" s="327"/>
      <c r="F60" s="203"/>
      <c r="G60" s="49">
        <f>'Comptes Lots'!B8+'Comptes Lots'!B31+'Comptes Lots'!B54+'Comptes Lots'!B77+'Comptes Lots'!B100+'Comptes Lots'!B123+'Comptes Lots'!B146+'Comptes Lots'!B169</f>
        <v>0</v>
      </c>
      <c r="H60" s="41">
        <f>H48+'Comptes Lots'!I8+'Comptes Lots'!I31+'Comptes Lots'!I54+'Comptes Lots'!I77+'Comptes Lots'!I100+'Comptes Lots'!I123+'Comptes Lots'!I146+'Comptes Lots'!I169</f>
        <v>0</v>
      </c>
      <c r="I60" s="64"/>
      <c r="J60" s="40" t="s">
        <v>117</v>
      </c>
      <c r="K60" s="41">
        <f aca="true" t="shared" si="164" ref="K60:Q60">SUM(K51,K52,K53,K54,K55,K56,K57,K58,K59)</f>
        <v>0</v>
      </c>
      <c r="L60" s="41">
        <f t="shared" si="164"/>
        <v>0</v>
      </c>
      <c r="M60" s="41">
        <f t="shared" si="164"/>
        <v>0</v>
      </c>
      <c r="N60" s="41">
        <f t="shared" si="164"/>
        <v>0</v>
      </c>
      <c r="O60" s="41">
        <f t="shared" si="164"/>
        <v>0</v>
      </c>
      <c r="P60" s="41">
        <f t="shared" si="164"/>
        <v>0</v>
      </c>
      <c r="Q60" s="41">
        <f t="shared" si="164"/>
        <v>0</v>
      </c>
      <c r="R60" s="41">
        <f aca="true" t="shared" si="165" ref="R60:Y60">SUM(R51,R52,R53,R54,R55,R56,R57,R58,R59)</f>
        <v>0</v>
      </c>
      <c r="S60" s="41">
        <f t="shared" si="165"/>
        <v>0</v>
      </c>
      <c r="T60" s="41">
        <f t="shared" si="165"/>
        <v>0</v>
      </c>
      <c r="U60" s="41">
        <f t="shared" si="165"/>
        <v>0</v>
      </c>
      <c r="V60" s="42">
        <f t="shared" si="165"/>
        <v>0</v>
      </c>
      <c r="W60" s="42">
        <f t="shared" si="165"/>
        <v>0</v>
      </c>
      <c r="X60" s="42">
        <f t="shared" si="165"/>
        <v>0</v>
      </c>
      <c r="Y60" s="41">
        <f t="shared" si="165"/>
        <v>0</v>
      </c>
      <c r="Z60" s="133">
        <f aca="true" t="shared" si="166" ref="Z60:AT60">SUM(Z51,Z52,Z53,Z54,Z55,Z56,Z57,Z58,Z59)</f>
        <v>0</v>
      </c>
      <c r="AA60" s="133">
        <f t="shared" si="166"/>
        <v>0</v>
      </c>
      <c r="AB60" s="133">
        <f t="shared" si="166"/>
        <v>0</v>
      </c>
      <c r="AC60" s="133">
        <f t="shared" si="166"/>
        <v>0</v>
      </c>
      <c r="AD60" s="133">
        <f t="shared" si="166"/>
        <v>0</v>
      </c>
      <c r="AE60" s="134">
        <f t="shared" si="166"/>
        <v>0</v>
      </c>
      <c r="AF60" s="133">
        <f t="shared" si="166"/>
        <v>0</v>
      </c>
      <c r="AG60" s="133">
        <f t="shared" si="166"/>
        <v>0</v>
      </c>
      <c r="AH60" s="133">
        <f t="shared" si="166"/>
        <v>0</v>
      </c>
      <c r="AI60" s="133">
        <f t="shared" si="166"/>
        <v>0</v>
      </c>
      <c r="AJ60" s="133">
        <f t="shared" si="166"/>
        <v>0</v>
      </c>
      <c r="AK60" s="133">
        <f t="shared" si="166"/>
        <v>0</v>
      </c>
      <c r="AL60" s="133">
        <f t="shared" si="166"/>
        <v>0</v>
      </c>
      <c r="AM60" s="134">
        <f t="shared" si="166"/>
        <v>0</v>
      </c>
      <c r="AN60" s="133">
        <f t="shared" si="166"/>
        <v>0</v>
      </c>
      <c r="AO60" s="133">
        <f t="shared" si="166"/>
        <v>0</v>
      </c>
      <c r="AP60" s="133">
        <f t="shared" si="166"/>
        <v>0</v>
      </c>
      <c r="AQ60" s="133">
        <f t="shared" si="166"/>
        <v>0</v>
      </c>
      <c r="AR60" s="133">
        <f t="shared" si="166"/>
        <v>0</v>
      </c>
      <c r="AS60" s="133">
        <f t="shared" si="166"/>
        <v>0</v>
      </c>
      <c r="AT60" s="133">
        <f t="shared" si="166"/>
        <v>0</v>
      </c>
      <c r="AX60" s="329">
        <f>SUM(AX51,AX52,AX53,AX54,AX55,AX56,AX57,AX58,AX59)</f>
        <v>0</v>
      </c>
      <c r="AY60" s="329">
        <f>SUM(AY51,AY52,AY53,AY54,AY55,AY56,AY57,AY58,AY59)</f>
        <v>0</v>
      </c>
    </row>
    <row r="61" spans="1:25" ht="9.75" customHeight="1">
      <c r="A61" s="11"/>
      <c r="B61" s="11"/>
      <c r="C61" s="11"/>
      <c r="D61" s="11"/>
      <c r="E61" s="11"/>
      <c r="F61" s="11"/>
      <c r="G61" s="11"/>
      <c r="H61" s="55"/>
      <c r="I61" s="50"/>
      <c r="J61" s="56"/>
      <c r="K61" s="11"/>
      <c r="L61" s="11"/>
      <c r="M61" s="11"/>
      <c r="N61" s="11"/>
      <c r="O61" s="11"/>
      <c r="P61" s="11"/>
      <c r="Q61" s="11"/>
      <c r="R61" s="11"/>
      <c r="S61" s="11"/>
      <c r="T61" s="11"/>
      <c r="U61" s="11"/>
      <c r="V61" s="11"/>
      <c r="W61" s="11"/>
      <c r="X61" s="11"/>
      <c r="Y61" s="55"/>
    </row>
    <row r="62" spans="1:51" ht="18" customHeight="1">
      <c r="A62" s="39" t="s">
        <v>281</v>
      </c>
      <c r="B62" s="15"/>
      <c r="C62" s="15"/>
      <c r="D62" s="39"/>
      <c r="E62" s="39"/>
      <c r="F62" s="39" t="s">
        <v>324</v>
      </c>
      <c r="G62" s="15"/>
      <c r="H62" s="15"/>
      <c r="I62" s="52"/>
      <c r="J62" s="39" t="s">
        <v>281</v>
      </c>
      <c r="K62" s="39" t="s">
        <v>116</v>
      </c>
      <c r="L62" s="39"/>
      <c r="M62" s="15"/>
      <c r="N62" s="15"/>
      <c r="O62" s="14"/>
      <c r="P62" s="14"/>
      <c r="Q62" s="16"/>
      <c r="R62" s="39" t="s">
        <v>346</v>
      </c>
      <c r="S62" s="15"/>
      <c r="T62" s="15"/>
      <c r="U62" s="15"/>
      <c r="V62" s="14"/>
      <c r="W62" s="14"/>
      <c r="X62" s="14"/>
      <c r="Y62" s="16"/>
      <c r="Z62" s="127" t="s">
        <v>134</v>
      </c>
      <c r="AA62" s="128" t="s">
        <v>70</v>
      </c>
      <c r="AB62" s="103"/>
      <c r="AC62" s="103"/>
      <c r="AD62" s="103"/>
      <c r="AE62" s="129"/>
      <c r="AF62" s="129"/>
      <c r="AG62" s="92"/>
      <c r="AH62" s="92"/>
      <c r="AI62" s="92"/>
      <c r="AJ62" s="92"/>
      <c r="AK62" s="92"/>
      <c r="AL62" s="92"/>
      <c r="AM62" s="92"/>
      <c r="AN62" s="92"/>
      <c r="AO62" s="92"/>
      <c r="AP62" s="92"/>
      <c r="AQ62" s="92"/>
      <c r="AR62" s="92"/>
      <c r="AS62" s="92"/>
      <c r="AT62" s="95"/>
      <c r="AX62" s="93" t="s">
        <v>221</v>
      </c>
      <c r="AY62" s="93"/>
    </row>
    <row r="63" spans="1:51" ht="18" customHeight="1">
      <c r="A63" s="19" t="s">
        <v>292</v>
      </c>
      <c r="B63" s="19" t="s">
        <v>305</v>
      </c>
      <c r="C63" s="19" t="s">
        <v>320</v>
      </c>
      <c r="D63" s="35" t="s">
        <v>118</v>
      </c>
      <c r="E63" s="35" t="s">
        <v>326</v>
      </c>
      <c r="F63" s="35" t="s">
        <v>321</v>
      </c>
      <c r="G63" s="48" t="s">
        <v>323</v>
      </c>
      <c r="H63" s="43" t="s">
        <v>322</v>
      </c>
      <c r="I63" s="52"/>
      <c r="J63" s="19" t="s">
        <v>134</v>
      </c>
      <c r="K63" s="19" t="str">
        <f aca="true" t="shared" si="167" ref="K63:Q63">K50</f>
        <v>Générales</v>
      </c>
      <c r="L63" s="19" t="str">
        <f t="shared" si="167"/>
        <v>Escalier</v>
      </c>
      <c r="M63" s="19" t="str">
        <f t="shared" si="167"/>
        <v>Eau</v>
      </c>
      <c r="N63" s="19" t="str">
        <f t="shared" si="167"/>
        <v>Charge1</v>
      </c>
      <c r="O63" s="19" t="str">
        <f t="shared" si="167"/>
        <v>Charge2</v>
      </c>
      <c r="P63" s="19" t="str">
        <f t="shared" si="167"/>
        <v>Travaux</v>
      </c>
      <c r="Q63" s="19" t="str">
        <f t="shared" si="167"/>
        <v>Provision</v>
      </c>
      <c r="R63" s="19" t="s">
        <v>52</v>
      </c>
      <c r="S63" s="19" t="s">
        <v>408</v>
      </c>
      <c r="T63" s="19" t="s">
        <v>53</v>
      </c>
      <c r="U63" s="19" t="s">
        <v>300</v>
      </c>
      <c r="V63" s="13" t="s">
        <v>209</v>
      </c>
      <c r="W63" s="13" t="s">
        <v>469</v>
      </c>
      <c r="X63" s="13" t="s">
        <v>470</v>
      </c>
      <c r="Y63" s="34" t="s">
        <v>43</v>
      </c>
      <c r="Z63" s="130">
        <v>60</v>
      </c>
      <c r="AA63" s="130">
        <v>61</v>
      </c>
      <c r="AB63" s="130">
        <v>62</v>
      </c>
      <c r="AC63" s="130">
        <v>63</v>
      </c>
      <c r="AD63" s="130">
        <v>64</v>
      </c>
      <c r="AE63" s="131">
        <v>66</v>
      </c>
      <c r="AF63" s="132">
        <v>661</v>
      </c>
      <c r="AG63" s="138">
        <v>671</v>
      </c>
      <c r="AH63" s="132">
        <v>672</v>
      </c>
      <c r="AI63" s="132">
        <v>673</v>
      </c>
      <c r="AJ63" s="132">
        <v>677</v>
      </c>
      <c r="AK63" s="132">
        <v>68</v>
      </c>
      <c r="AL63" s="132">
        <v>701</v>
      </c>
      <c r="AM63" s="132">
        <v>702</v>
      </c>
      <c r="AN63" s="132">
        <v>703</v>
      </c>
      <c r="AO63" s="132">
        <v>704</v>
      </c>
      <c r="AP63" s="132">
        <v>711</v>
      </c>
      <c r="AQ63" s="132">
        <v>712</v>
      </c>
      <c r="AR63" s="132">
        <v>713</v>
      </c>
      <c r="AS63" s="132">
        <v>714</v>
      </c>
      <c r="AT63" s="93"/>
      <c r="AX63" s="93" t="s">
        <v>442</v>
      </c>
      <c r="AY63" s="93" t="s">
        <v>303</v>
      </c>
    </row>
    <row r="64" spans="1:51" ht="18" customHeight="1">
      <c r="A64" s="339"/>
      <c r="B64" s="202"/>
      <c r="C64" s="346"/>
      <c r="D64" s="203"/>
      <c r="E64" s="325"/>
      <c r="F64" s="204"/>
      <c r="G64" s="45"/>
      <c r="H64" s="45"/>
      <c r="I64" s="53"/>
      <c r="J64" s="200"/>
      <c r="K64" s="60">
        <f aca="true" t="shared" si="168" ref="K64:K72">IF(D64="Générales",C64,"")</f>
      </c>
      <c r="L64" s="60">
        <f aca="true" t="shared" si="169" ref="L64:L72">IF(D64="Escalier",C64,"")</f>
      </c>
      <c r="M64" s="60">
        <f aca="true" t="shared" si="170" ref="M64:M72">IF(D64="Eau",C64,"")</f>
      </c>
      <c r="N64" s="60">
        <f aca="true" t="shared" si="171" ref="N64:N72">IF(D64="Spéciales1",C64,"")</f>
      </c>
      <c r="O64" s="60">
        <f aca="true" t="shared" si="172" ref="O64:O72">IF(D64="Spéciales2",C64,"")</f>
      </c>
      <c r="P64" s="60">
        <f aca="true" t="shared" si="173" ref="P64:P72">IF(D64="Travaux",C64,"")</f>
      </c>
      <c r="Q64" s="60">
        <f aca="true" t="shared" si="174" ref="Q64:Q72">IF(D64="Provision",C64,"")</f>
      </c>
      <c r="R64" s="60">
        <f aca="true" t="shared" si="175" ref="R64:R72">IF(D64="Lot n°1",C64,"")</f>
      </c>
      <c r="S64" s="60">
        <f aca="true" t="shared" si="176" ref="S64:S72">IF(D64="Lot n°2",C64,"")</f>
      </c>
      <c r="T64" s="60">
        <f aca="true" t="shared" si="177" ref="T64:T72">IF(D64="Lot n°3",C64,"")</f>
      </c>
      <c r="U64" s="60">
        <f aca="true" t="shared" si="178" ref="U64:U72">IF(D64="Lot n°4",C64,"")</f>
      </c>
      <c r="V64" s="61">
        <f aca="true" t="shared" si="179" ref="V64:V72">IF(D64="Lot n°5",C64,"")</f>
      </c>
      <c r="W64" s="61">
        <f>IF(D64="Lot n°6",C64,"")</f>
      </c>
      <c r="X64" s="61">
        <f>IF(D64="Lot n°7",C64,"")</f>
      </c>
      <c r="Y64" s="60">
        <f aca="true" t="shared" si="180" ref="Y64:Y72">IF(D64="Lot n°M",C64,"")</f>
      </c>
      <c r="Z64" s="137">
        <f aca="true" t="shared" si="181" ref="Z64:Z72">IF(J64="60 Achat de matières et fournitures",C64,"")</f>
      </c>
      <c r="AA64" s="135">
        <f aca="true" t="shared" si="182" ref="AA64:AA72">IF(J64="61 Services extérieurs",C64,"")</f>
      </c>
      <c r="AB64" s="135">
        <f aca="true" t="shared" si="183" ref="AB64:AB72">IF(J64="62 Frais d'administration et honoraires",C64,"")</f>
      </c>
      <c r="AC64" s="135">
        <f aca="true" t="shared" si="184" ref="AC64:AC72">IF(J64="63 Impôts - taxes et versements assimilés",C64,"")</f>
      </c>
      <c r="AD64" s="135">
        <f aca="true" t="shared" si="185" ref="AD64:AD72">IF(J64="64 Frais de personnel",C64,"")</f>
      </c>
      <c r="AE64" s="136">
        <f aca="true" t="shared" si="186" ref="AE64:AE72">IF(J64="66 Charges financières des emprunts, agios",C64,"")</f>
      </c>
      <c r="AF64" s="135">
        <f aca="true" t="shared" si="187" ref="AF64:AF72">IF(J64="661 Rembourcement d'annuités d'emprunt",C64,"")</f>
      </c>
      <c r="AG64" s="123">
        <f aca="true" t="shared" si="188" ref="AG64:AG72">IF(J64="671 Travaux décidés par l'AG",C64,"")</f>
      </c>
      <c r="AH64" s="123">
        <f aca="true" t="shared" si="189" ref="AH64:AH72">IF(J64="672 Travaux urgents",C64,"")</f>
      </c>
      <c r="AI64" s="123">
        <f aca="true" t="shared" si="190" ref="AI64:AI72">IF(J64="673 Etudes techniques, diagnostic",C64,"")</f>
      </c>
      <c r="AJ64" s="123">
        <f aca="true" t="shared" si="191" ref="AJ64:AJ72">IF(J64="677 Pertes sur créances irrécouvrables",C64,"")</f>
      </c>
      <c r="AK64" s="123">
        <f aca="true" t="shared" si="192" ref="AK64:AK72">IF(J64="68 Dotations aux dépréciations sur créances douteuses",C64,"")</f>
      </c>
      <c r="AL64" s="123">
        <f aca="true" t="shared" si="193" ref="AL64:AL72">IF(J64="701 Provisions sur opérations courantes",C64,"")</f>
      </c>
      <c r="AM64" s="123">
        <f aca="true" t="shared" si="194" ref="AM64:AM72">IF(J64="702 Provisions pour travaux",C64,"")</f>
      </c>
      <c r="AN64" s="123">
        <f aca="true" t="shared" si="195" ref="AN64:AN72">IF(J64="703 Avances",C64,"")</f>
      </c>
      <c r="AO64" s="123">
        <f aca="true" t="shared" si="196" ref="AO64:AO72">IF(J64="704 Rembourcement d'emprunt",C64,"")</f>
      </c>
      <c r="AP64" s="123">
        <f aca="true" t="shared" si="197" ref="AP64:AP72">IF(J64="711 Subventions sur travaux",C64,"")</f>
      </c>
      <c r="AQ64" s="123">
        <f aca="true" t="shared" si="198" ref="AQ64:AQ72">IF(J64="712 Emprunts",C64,"")</f>
      </c>
      <c r="AR64" s="123">
        <f aca="true" t="shared" si="199" ref="AR64:AR72">IF(J64="713 Indemnités d'assurances",C64,"")</f>
      </c>
      <c r="AS64" s="123">
        <f aca="true" t="shared" si="200" ref="AS64:AS72">IF(J64="714 Produits divers",C64,"")</f>
      </c>
      <c r="AT64" s="93">
        <f aca="true" t="shared" si="201" ref="AT64:AT72">IF(J64="78 Reprises de dépréciations sur créance",C64,"")</f>
      </c>
      <c r="AX64" s="328">
        <f aca="true" t="shared" si="202" ref="AX64:AX72">IF(E64="Locataires",K64,"")</f>
      </c>
      <c r="AY64" s="328">
        <f aca="true" t="shared" si="203" ref="AY64:AY72">IF(E64="Locataires",L64,"")</f>
      </c>
    </row>
    <row r="65" spans="1:51" ht="18" customHeight="1">
      <c r="A65" s="339"/>
      <c r="B65" s="202"/>
      <c r="C65" s="346"/>
      <c r="D65" s="203"/>
      <c r="E65" s="325"/>
      <c r="F65" s="205"/>
      <c r="G65" s="46"/>
      <c r="H65" s="46"/>
      <c r="I65" s="53"/>
      <c r="J65" s="200"/>
      <c r="K65" s="60">
        <f t="shared" si="168"/>
      </c>
      <c r="L65" s="60">
        <f t="shared" si="169"/>
      </c>
      <c r="M65" s="60">
        <f t="shared" si="170"/>
      </c>
      <c r="N65" s="60">
        <f t="shared" si="171"/>
      </c>
      <c r="O65" s="60">
        <f t="shared" si="172"/>
      </c>
      <c r="P65" s="60">
        <f t="shared" si="173"/>
      </c>
      <c r="Q65" s="60">
        <f t="shared" si="174"/>
      </c>
      <c r="R65" s="60">
        <f t="shared" si="175"/>
      </c>
      <c r="S65" s="60">
        <f t="shared" si="176"/>
      </c>
      <c r="T65" s="60">
        <f t="shared" si="177"/>
      </c>
      <c r="U65" s="60">
        <f t="shared" si="178"/>
      </c>
      <c r="V65" s="61">
        <f t="shared" si="179"/>
      </c>
      <c r="W65" s="61">
        <f aca="true" t="shared" si="204" ref="W65:W72">IF(D65="Lot n°6",C65,"")</f>
      </c>
      <c r="X65" s="61">
        <f aca="true" t="shared" si="205" ref="X65:X72">IF(D65="Lot n°7",C65,"")</f>
      </c>
      <c r="Y65" s="60">
        <f t="shared" si="180"/>
      </c>
      <c r="Z65" s="137">
        <f t="shared" si="181"/>
      </c>
      <c r="AA65" s="135">
        <f t="shared" si="182"/>
      </c>
      <c r="AB65" s="135">
        <f t="shared" si="183"/>
      </c>
      <c r="AC65" s="135">
        <f t="shared" si="184"/>
      </c>
      <c r="AD65" s="135">
        <f t="shared" si="185"/>
      </c>
      <c r="AE65" s="136">
        <f t="shared" si="186"/>
      </c>
      <c r="AF65" s="135">
        <f t="shared" si="187"/>
      </c>
      <c r="AG65" s="123">
        <f t="shared" si="188"/>
      </c>
      <c r="AH65" s="123">
        <f t="shared" si="189"/>
      </c>
      <c r="AI65" s="123">
        <f t="shared" si="190"/>
      </c>
      <c r="AJ65" s="123">
        <f t="shared" si="191"/>
      </c>
      <c r="AK65" s="123">
        <f t="shared" si="192"/>
      </c>
      <c r="AL65" s="123">
        <f t="shared" si="193"/>
      </c>
      <c r="AM65" s="123">
        <f t="shared" si="194"/>
      </c>
      <c r="AN65" s="123">
        <f t="shared" si="195"/>
      </c>
      <c r="AO65" s="123">
        <f t="shared" si="196"/>
      </c>
      <c r="AP65" s="123">
        <f t="shared" si="197"/>
      </c>
      <c r="AQ65" s="123">
        <f t="shared" si="198"/>
      </c>
      <c r="AR65" s="123">
        <f t="shared" si="199"/>
      </c>
      <c r="AS65" s="123">
        <f t="shared" si="200"/>
      </c>
      <c r="AT65" s="93">
        <f t="shared" si="201"/>
      </c>
      <c r="AX65" s="328">
        <f t="shared" si="202"/>
      </c>
      <c r="AY65" s="328">
        <f t="shared" si="203"/>
      </c>
    </row>
    <row r="66" spans="1:51" ht="18" customHeight="1">
      <c r="A66" s="339"/>
      <c r="B66" s="202"/>
      <c r="C66" s="346"/>
      <c r="D66" s="203"/>
      <c r="E66" s="325"/>
      <c r="F66" s="205"/>
      <c r="G66" s="46"/>
      <c r="H66" s="46"/>
      <c r="I66" s="53"/>
      <c r="J66" s="200"/>
      <c r="K66" s="60">
        <f t="shared" si="168"/>
      </c>
      <c r="L66" s="60">
        <f t="shared" si="169"/>
      </c>
      <c r="M66" s="60">
        <f t="shared" si="170"/>
      </c>
      <c r="N66" s="60">
        <f t="shared" si="171"/>
      </c>
      <c r="O66" s="60">
        <f t="shared" si="172"/>
      </c>
      <c r="P66" s="60">
        <f t="shared" si="173"/>
      </c>
      <c r="Q66" s="60">
        <f t="shared" si="174"/>
      </c>
      <c r="R66" s="60">
        <f t="shared" si="175"/>
      </c>
      <c r="S66" s="60">
        <f t="shared" si="176"/>
      </c>
      <c r="T66" s="60">
        <f t="shared" si="177"/>
      </c>
      <c r="U66" s="60">
        <f t="shared" si="178"/>
      </c>
      <c r="V66" s="61">
        <f t="shared" si="179"/>
      </c>
      <c r="W66" s="61">
        <f t="shared" si="204"/>
      </c>
      <c r="X66" s="61">
        <f t="shared" si="205"/>
      </c>
      <c r="Y66" s="60">
        <f t="shared" si="180"/>
      </c>
      <c r="Z66" s="137">
        <f t="shared" si="181"/>
      </c>
      <c r="AA66" s="135">
        <f t="shared" si="182"/>
      </c>
      <c r="AB66" s="135">
        <f t="shared" si="183"/>
      </c>
      <c r="AC66" s="135">
        <f t="shared" si="184"/>
      </c>
      <c r="AD66" s="135">
        <f t="shared" si="185"/>
      </c>
      <c r="AE66" s="136">
        <f t="shared" si="186"/>
      </c>
      <c r="AF66" s="135">
        <f t="shared" si="187"/>
      </c>
      <c r="AG66" s="123">
        <f t="shared" si="188"/>
      </c>
      <c r="AH66" s="123">
        <f t="shared" si="189"/>
      </c>
      <c r="AI66" s="123">
        <f t="shared" si="190"/>
      </c>
      <c r="AJ66" s="123">
        <f t="shared" si="191"/>
      </c>
      <c r="AK66" s="123">
        <f t="shared" si="192"/>
      </c>
      <c r="AL66" s="123">
        <f t="shared" si="193"/>
      </c>
      <c r="AM66" s="123">
        <f t="shared" si="194"/>
      </c>
      <c r="AN66" s="123">
        <f t="shared" si="195"/>
      </c>
      <c r="AO66" s="123">
        <f t="shared" si="196"/>
      </c>
      <c r="AP66" s="123">
        <f t="shared" si="197"/>
      </c>
      <c r="AQ66" s="123">
        <f t="shared" si="198"/>
      </c>
      <c r="AR66" s="123">
        <f t="shared" si="199"/>
      </c>
      <c r="AS66" s="123">
        <f t="shared" si="200"/>
      </c>
      <c r="AT66" s="93">
        <f t="shared" si="201"/>
      </c>
      <c r="AX66" s="328">
        <f t="shared" si="202"/>
      </c>
      <c r="AY66" s="328">
        <f t="shared" si="203"/>
      </c>
    </row>
    <row r="67" spans="1:51" ht="18" customHeight="1">
      <c r="A67" s="339"/>
      <c r="B67" s="202"/>
      <c r="C67" s="346"/>
      <c r="D67" s="203"/>
      <c r="E67" s="325"/>
      <c r="F67" s="205"/>
      <c r="G67" s="46"/>
      <c r="H67" s="46"/>
      <c r="I67" s="53"/>
      <c r="J67" s="200"/>
      <c r="K67" s="60">
        <f t="shared" si="168"/>
      </c>
      <c r="L67" s="60">
        <f t="shared" si="169"/>
      </c>
      <c r="M67" s="60">
        <f t="shared" si="170"/>
      </c>
      <c r="N67" s="60">
        <f t="shared" si="171"/>
      </c>
      <c r="O67" s="60">
        <f t="shared" si="172"/>
      </c>
      <c r="P67" s="60">
        <f t="shared" si="173"/>
      </c>
      <c r="Q67" s="60">
        <f t="shared" si="174"/>
      </c>
      <c r="R67" s="60">
        <f t="shared" si="175"/>
      </c>
      <c r="S67" s="60">
        <f t="shared" si="176"/>
      </c>
      <c r="T67" s="60">
        <f t="shared" si="177"/>
      </c>
      <c r="U67" s="60">
        <f t="shared" si="178"/>
      </c>
      <c r="V67" s="61">
        <f t="shared" si="179"/>
      </c>
      <c r="W67" s="61">
        <f t="shared" si="204"/>
      </c>
      <c r="X67" s="61">
        <f t="shared" si="205"/>
      </c>
      <c r="Y67" s="60">
        <f t="shared" si="180"/>
      </c>
      <c r="Z67" s="137">
        <f t="shared" si="181"/>
      </c>
      <c r="AA67" s="135">
        <f t="shared" si="182"/>
      </c>
      <c r="AB67" s="135">
        <f t="shared" si="183"/>
      </c>
      <c r="AC67" s="135">
        <f t="shared" si="184"/>
      </c>
      <c r="AD67" s="135">
        <f t="shared" si="185"/>
      </c>
      <c r="AE67" s="136">
        <f t="shared" si="186"/>
      </c>
      <c r="AF67" s="135">
        <f t="shared" si="187"/>
      </c>
      <c r="AG67" s="123">
        <f t="shared" si="188"/>
      </c>
      <c r="AH67" s="123">
        <f t="shared" si="189"/>
      </c>
      <c r="AI67" s="123">
        <f t="shared" si="190"/>
      </c>
      <c r="AJ67" s="123">
        <f t="shared" si="191"/>
      </c>
      <c r="AK67" s="123">
        <f t="shared" si="192"/>
      </c>
      <c r="AL67" s="123">
        <f t="shared" si="193"/>
      </c>
      <c r="AM67" s="123">
        <f t="shared" si="194"/>
      </c>
      <c r="AN67" s="123">
        <f t="shared" si="195"/>
      </c>
      <c r="AO67" s="123">
        <f t="shared" si="196"/>
      </c>
      <c r="AP67" s="123">
        <f t="shared" si="197"/>
      </c>
      <c r="AQ67" s="123">
        <f t="shared" si="198"/>
      </c>
      <c r="AR67" s="123">
        <f t="shared" si="199"/>
      </c>
      <c r="AS67" s="123">
        <f t="shared" si="200"/>
      </c>
      <c r="AT67" s="93">
        <f t="shared" si="201"/>
      </c>
      <c r="AX67" s="328">
        <f t="shared" si="202"/>
      </c>
      <c r="AY67" s="328">
        <f t="shared" si="203"/>
      </c>
    </row>
    <row r="68" spans="1:51" ht="18" customHeight="1">
      <c r="A68" s="339"/>
      <c r="B68" s="202"/>
      <c r="C68" s="346"/>
      <c r="D68" s="203"/>
      <c r="E68" s="325"/>
      <c r="F68" s="205"/>
      <c r="G68" s="46"/>
      <c r="H68" s="46"/>
      <c r="I68" s="53"/>
      <c r="J68" s="200"/>
      <c r="K68" s="60">
        <f t="shared" si="168"/>
      </c>
      <c r="L68" s="60">
        <f t="shared" si="169"/>
      </c>
      <c r="M68" s="60">
        <f t="shared" si="170"/>
      </c>
      <c r="N68" s="60">
        <f t="shared" si="171"/>
      </c>
      <c r="O68" s="60">
        <f t="shared" si="172"/>
      </c>
      <c r="P68" s="60">
        <f t="shared" si="173"/>
      </c>
      <c r="Q68" s="60">
        <f t="shared" si="174"/>
      </c>
      <c r="R68" s="60">
        <f t="shared" si="175"/>
      </c>
      <c r="S68" s="60">
        <f t="shared" si="176"/>
      </c>
      <c r="T68" s="60">
        <f t="shared" si="177"/>
      </c>
      <c r="U68" s="60">
        <f t="shared" si="178"/>
      </c>
      <c r="V68" s="61">
        <f t="shared" si="179"/>
      </c>
      <c r="W68" s="61">
        <f t="shared" si="204"/>
      </c>
      <c r="X68" s="61">
        <f t="shared" si="205"/>
      </c>
      <c r="Y68" s="60">
        <f t="shared" si="180"/>
      </c>
      <c r="Z68" s="137">
        <f t="shared" si="181"/>
      </c>
      <c r="AA68" s="135">
        <f t="shared" si="182"/>
      </c>
      <c r="AB68" s="135">
        <f t="shared" si="183"/>
      </c>
      <c r="AC68" s="135">
        <f t="shared" si="184"/>
      </c>
      <c r="AD68" s="135">
        <f t="shared" si="185"/>
      </c>
      <c r="AE68" s="136">
        <f t="shared" si="186"/>
      </c>
      <c r="AF68" s="135">
        <f t="shared" si="187"/>
      </c>
      <c r="AG68" s="123">
        <f t="shared" si="188"/>
      </c>
      <c r="AH68" s="123">
        <f t="shared" si="189"/>
      </c>
      <c r="AI68" s="123">
        <f t="shared" si="190"/>
      </c>
      <c r="AJ68" s="123">
        <f t="shared" si="191"/>
      </c>
      <c r="AK68" s="123">
        <f t="shared" si="192"/>
      </c>
      <c r="AL68" s="123">
        <f t="shared" si="193"/>
      </c>
      <c r="AM68" s="123">
        <f t="shared" si="194"/>
      </c>
      <c r="AN68" s="123">
        <f t="shared" si="195"/>
      </c>
      <c r="AO68" s="123">
        <f t="shared" si="196"/>
      </c>
      <c r="AP68" s="123">
        <f t="shared" si="197"/>
      </c>
      <c r="AQ68" s="123">
        <f t="shared" si="198"/>
      </c>
      <c r="AR68" s="123">
        <f t="shared" si="199"/>
      </c>
      <c r="AS68" s="123">
        <f t="shared" si="200"/>
      </c>
      <c r="AT68" s="93">
        <f t="shared" si="201"/>
      </c>
      <c r="AX68" s="328">
        <f t="shared" si="202"/>
      </c>
      <c r="AY68" s="328">
        <f t="shared" si="203"/>
      </c>
    </row>
    <row r="69" spans="1:51" ht="18" customHeight="1">
      <c r="A69" s="339"/>
      <c r="B69" s="202"/>
      <c r="C69" s="346"/>
      <c r="D69" s="203"/>
      <c r="E69" s="325"/>
      <c r="F69" s="205"/>
      <c r="G69" s="46"/>
      <c r="H69" s="46"/>
      <c r="I69" s="53"/>
      <c r="J69" s="200"/>
      <c r="K69" s="60">
        <f t="shared" si="168"/>
      </c>
      <c r="L69" s="60">
        <f t="shared" si="169"/>
      </c>
      <c r="M69" s="60">
        <f t="shared" si="170"/>
      </c>
      <c r="N69" s="60">
        <f t="shared" si="171"/>
      </c>
      <c r="O69" s="60">
        <f t="shared" si="172"/>
      </c>
      <c r="P69" s="60">
        <f t="shared" si="173"/>
      </c>
      <c r="Q69" s="60">
        <f t="shared" si="174"/>
      </c>
      <c r="R69" s="60">
        <f t="shared" si="175"/>
      </c>
      <c r="S69" s="60">
        <f t="shared" si="176"/>
      </c>
      <c r="T69" s="60">
        <f t="shared" si="177"/>
      </c>
      <c r="U69" s="60">
        <f t="shared" si="178"/>
      </c>
      <c r="V69" s="61">
        <f t="shared" si="179"/>
      </c>
      <c r="W69" s="61">
        <f t="shared" si="204"/>
      </c>
      <c r="X69" s="61">
        <f t="shared" si="205"/>
      </c>
      <c r="Y69" s="60">
        <f t="shared" si="180"/>
      </c>
      <c r="Z69" s="137">
        <f t="shared" si="181"/>
      </c>
      <c r="AA69" s="135">
        <f t="shared" si="182"/>
      </c>
      <c r="AB69" s="135">
        <f t="shared" si="183"/>
      </c>
      <c r="AC69" s="135">
        <f t="shared" si="184"/>
      </c>
      <c r="AD69" s="135">
        <f t="shared" si="185"/>
      </c>
      <c r="AE69" s="136">
        <f t="shared" si="186"/>
      </c>
      <c r="AF69" s="135">
        <f t="shared" si="187"/>
      </c>
      <c r="AG69" s="123">
        <f t="shared" si="188"/>
      </c>
      <c r="AH69" s="123">
        <f t="shared" si="189"/>
      </c>
      <c r="AI69" s="123">
        <f t="shared" si="190"/>
      </c>
      <c r="AJ69" s="123">
        <f t="shared" si="191"/>
      </c>
      <c r="AK69" s="123">
        <f t="shared" si="192"/>
      </c>
      <c r="AL69" s="123">
        <f t="shared" si="193"/>
      </c>
      <c r="AM69" s="123">
        <f t="shared" si="194"/>
      </c>
      <c r="AN69" s="123">
        <f t="shared" si="195"/>
      </c>
      <c r="AO69" s="123">
        <f t="shared" si="196"/>
      </c>
      <c r="AP69" s="123">
        <f t="shared" si="197"/>
      </c>
      <c r="AQ69" s="123">
        <f t="shared" si="198"/>
      </c>
      <c r="AR69" s="123">
        <f t="shared" si="199"/>
      </c>
      <c r="AS69" s="123">
        <f t="shared" si="200"/>
      </c>
      <c r="AT69" s="93">
        <f t="shared" si="201"/>
      </c>
      <c r="AX69" s="328">
        <f t="shared" si="202"/>
      </c>
      <c r="AY69" s="328">
        <f t="shared" si="203"/>
      </c>
    </row>
    <row r="70" spans="1:51" ht="18" customHeight="1">
      <c r="A70" s="339"/>
      <c r="B70" s="202"/>
      <c r="C70" s="346"/>
      <c r="D70" s="203"/>
      <c r="E70" s="325"/>
      <c r="F70" s="206"/>
      <c r="G70" s="46"/>
      <c r="H70" s="46"/>
      <c r="I70" s="53"/>
      <c r="J70" s="200"/>
      <c r="K70" s="60">
        <f t="shared" si="168"/>
      </c>
      <c r="L70" s="60">
        <f t="shared" si="169"/>
      </c>
      <c r="M70" s="60">
        <f t="shared" si="170"/>
      </c>
      <c r="N70" s="60">
        <f t="shared" si="171"/>
      </c>
      <c r="O70" s="60">
        <f t="shared" si="172"/>
      </c>
      <c r="P70" s="60">
        <f t="shared" si="173"/>
      </c>
      <c r="Q70" s="60">
        <f t="shared" si="174"/>
      </c>
      <c r="R70" s="60">
        <f t="shared" si="175"/>
      </c>
      <c r="S70" s="60">
        <f t="shared" si="176"/>
      </c>
      <c r="T70" s="60">
        <f t="shared" si="177"/>
      </c>
      <c r="U70" s="60">
        <f t="shared" si="178"/>
      </c>
      <c r="V70" s="61">
        <f t="shared" si="179"/>
      </c>
      <c r="W70" s="61">
        <f t="shared" si="204"/>
      </c>
      <c r="X70" s="61">
        <f t="shared" si="205"/>
      </c>
      <c r="Y70" s="60">
        <f t="shared" si="180"/>
      </c>
      <c r="Z70" s="137">
        <f t="shared" si="181"/>
      </c>
      <c r="AA70" s="135">
        <f t="shared" si="182"/>
      </c>
      <c r="AB70" s="135">
        <f t="shared" si="183"/>
      </c>
      <c r="AC70" s="135">
        <f t="shared" si="184"/>
      </c>
      <c r="AD70" s="135">
        <f t="shared" si="185"/>
      </c>
      <c r="AE70" s="136">
        <f t="shared" si="186"/>
      </c>
      <c r="AF70" s="135">
        <f t="shared" si="187"/>
      </c>
      <c r="AG70" s="123">
        <f t="shared" si="188"/>
      </c>
      <c r="AH70" s="123">
        <f t="shared" si="189"/>
      </c>
      <c r="AI70" s="123">
        <f t="shared" si="190"/>
      </c>
      <c r="AJ70" s="123">
        <f t="shared" si="191"/>
      </c>
      <c r="AK70" s="123">
        <f t="shared" si="192"/>
      </c>
      <c r="AL70" s="123">
        <f t="shared" si="193"/>
      </c>
      <c r="AM70" s="123">
        <f t="shared" si="194"/>
      </c>
      <c r="AN70" s="123">
        <f t="shared" si="195"/>
      </c>
      <c r="AO70" s="123">
        <f t="shared" si="196"/>
      </c>
      <c r="AP70" s="123">
        <f t="shared" si="197"/>
      </c>
      <c r="AQ70" s="123">
        <f t="shared" si="198"/>
      </c>
      <c r="AR70" s="123">
        <f t="shared" si="199"/>
      </c>
      <c r="AS70" s="123">
        <f t="shared" si="200"/>
      </c>
      <c r="AT70" s="93">
        <f t="shared" si="201"/>
      </c>
      <c r="AX70" s="328">
        <f t="shared" si="202"/>
      </c>
      <c r="AY70" s="328">
        <f t="shared" si="203"/>
      </c>
    </row>
    <row r="71" spans="1:51" ht="18" customHeight="1">
      <c r="A71" s="339"/>
      <c r="B71" s="202"/>
      <c r="C71" s="346"/>
      <c r="D71" s="203"/>
      <c r="E71" s="325"/>
      <c r="F71" s="206"/>
      <c r="G71" s="46"/>
      <c r="H71" s="46"/>
      <c r="I71" s="53"/>
      <c r="J71" s="200"/>
      <c r="K71" s="60">
        <f t="shared" si="168"/>
      </c>
      <c r="L71" s="60">
        <f t="shared" si="169"/>
      </c>
      <c r="M71" s="60">
        <f t="shared" si="170"/>
      </c>
      <c r="N71" s="60">
        <f t="shared" si="171"/>
      </c>
      <c r="O71" s="60">
        <f t="shared" si="172"/>
      </c>
      <c r="P71" s="60">
        <f t="shared" si="173"/>
      </c>
      <c r="Q71" s="60">
        <f t="shared" si="174"/>
      </c>
      <c r="R71" s="60">
        <f t="shared" si="175"/>
      </c>
      <c r="S71" s="60">
        <f t="shared" si="176"/>
      </c>
      <c r="T71" s="60">
        <f t="shared" si="177"/>
      </c>
      <c r="U71" s="60">
        <f t="shared" si="178"/>
      </c>
      <c r="V71" s="61">
        <f t="shared" si="179"/>
      </c>
      <c r="W71" s="61">
        <f t="shared" si="204"/>
      </c>
      <c r="X71" s="61">
        <f t="shared" si="205"/>
      </c>
      <c r="Y71" s="60">
        <f t="shared" si="180"/>
      </c>
      <c r="Z71" s="137">
        <f t="shared" si="181"/>
      </c>
      <c r="AA71" s="135">
        <f t="shared" si="182"/>
      </c>
      <c r="AB71" s="135">
        <f t="shared" si="183"/>
      </c>
      <c r="AC71" s="135">
        <f t="shared" si="184"/>
      </c>
      <c r="AD71" s="135">
        <f t="shared" si="185"/>
      </c>
      <c r="AE71" s="136">
        <f t="shared" si="186"/>
      </c>
      <c r="AF71" s="135">
        <f t="shared" si="187"/>
      </c>
      <c r="AG71" s="123">
        <f t="shared" si="188"/>
      </c>
      <c r="AH71" s="123">
        <f t="shared" si="189"/>
      </c>
      <c r="AI71" s="123">
        <f t="shared" si="190"/>
      </c>
      <c r="AJ71" s="123">
        <f t="shared" si="191"/>
      </c>
      <c r="AK71" s="123">
        <f t="shared" si="192"/>
      </c>
      <c r="AL71" s="123">
        <f t="shared" si="193"/>
      </c>
      <c r="AM71" s="123">
        <f t="shared" si="194"/>
      </c>
      <c r="AN71" s="123">
        <f t="shared" si="195"/>
      </c>
      <c r="AO71" s="123">
        <f t="shared" si="196"/>
      </c>
      <c r="AP71" s="123">
        <f t="shared" si="197"/>
      </c>
      <c r="AQ71" s="123">
        <f t="shared" si="198"/>
      </c>
      <c r="AR71" s="123">
        <f t="shared" si="199"/>
      </c>
      <c r="AS71" s="123">
        <f t="shared" si="200"/>
      </c>
      <c r="AT71" s="93">
        <f t="shared" si="201"/>
      </c>
      <c r="AX71" s="328">
        <f t="shared" si="202"/>
      </c>
      <c r="AY71" s="328">
        <f t="shared" si="203"/>
      </c>
    </row>
    <row r="72" spans="1:51" ht="18" customHeight="1">
      <c r="A72" s="339"/>
      <c r="B72" s="202"/>
      <c r="C72" s="346"/>
      <c r="D72" s="203"/>
      <c r="E72" s="325"/>
      <c r="F72" s="207"/>
      <c r="G72" s="47"/>
      <c r="H72" s="46"/>
      <c r="I72" s="53"/>
      <c r="J72" s="200"/>
      <c r="K72" s="60">
        <f t="shared" si="168"/>
      </c>
      <c r="L72" s="60">
        <f t="shared" si="169"/>
      </c>
      <c r="M72" s="60">
        <f t="shared" si="170"/>
      </c>
      <c r="N72" s="60">
        <f t="shared" si="171"/>
      </c>
      <c r="O72" s="60">
        <f t="shared" si="172"/>
      </c>
      <c r="P72" s="60">
        <f t="shared" si="173"/>
      </c>
      <c r="Q72" s="60">
        <f t="shared" si="174"/>
      </c>
      <c r="R72" s="60">
        <f t="shared" si="175"/>
      </c>
      <c r="S72" s="60">
        <f t="shared" si="176"/>
      </c>
      <c r="T72" s="60">
        <f t="shared" si="177"/>
      </c>
      <c r="U72" s="60">
        <f t="shared" si="178"/>
      </c>
      <c r="V72" s="61">
        <f t="shared" si="179"/>
      </c>
      <c r="W72" s="61">
        <f t="shared" si="204"/>
      </c>
      <c r="X72" s="61">
        <f t="shared" si="205"/>
      </c>
      <c r="Y72" s="60">
        <f t="shared" si="180"/>
      </c>
      <c r="Z72" s="137">
        <f t="shared" si="181"/>
      </c>
      <c r="AA72" s="135">
        <f t="shared" si="182"/>
      </c>
      <c r="AB72" s="135">
        <f t="shared" si="183"/>
      </c>
      <c r="AC72" s="135">
        <f t="shared" si="184"/>
      </c>
      <c r="AD72" s="135">
        <f t="shared" si="185"/>
      </c>
      <c r="AE72" s="136">
        <f t="shared" si="186"/>
      </c>
      <c r="AF72" s="135">
        <f t="shared" si="187"/>
      </c>
      <c r="AG72" s="123">
        <f t="shared" si="188"/>
      </c>
      <c r="AH72" s="123">
        <f t="shared" si="189"/>
      </c>
      <c r="AI72" s="123">
        <f t="shared" si="190"/>
      </c>
      <c r="AJ72" s="123">
        <f t="shared" si="191"/>
      </c>
      <c r="AK72" s="123">
        <f t="shared" si="192"/>
      </c>
      <c r="AL72" s="123">
        <f t="shared" si="193"/>
      </c>
      <c r="AM72" s="123">
        <f t="shared" si="194"/>
      </c>
      <c r="AN72" s="123">
        <f t="shared" si="195"/>
      </c>
      <c r="AO72" s="123">
        <f t="shared" si="196"/>
      </c>
      <c r="AP72" s="123">
        <f t="shared" si="197"/>
      </c>
      <c r="AQ72" s="123">
        <f t="shared" si="198"/>
      </c>
      <c r="AR72" s="123">
        <f t="shared" si="199"/>
      </c>
      <c r="AS72" s="123">
        <f t="shared" si="200"/>
      </c>
      <c r="AT72" s="93">
        <f t="shared" si="201"/>
      </c>
      <c r="AX72" s="328">
        <f t="shared" si="202"/>
      </c>
      <c r="AY72" s="328">
        <f t="shared" si="203"/>
      </c>
    </row>
    <row r="73" spans="1:51" ht="18" customHeight="1">
      <c r="A73" s="40" t="s">
        <v>117</v>
      </c>
      <c r="B73" s="29"/>
      <c r="C73" s="41">
        <f>SUM(C64,C65,C66,C67,C68,C69,C70,C71,C72)</f>
        <v>0</v>
      </c>
      <c r="D73" s="36">
        <f>D60+C73</f>
        <v>0</v>
      </c>
      <c r="E73" s="327"/>
      <c r="F73" s="203"/>
      <c r="G73" s="49">
        <f>'Comptes Lots'!B9+'Comptes Lots'!B32+'Comptes Lots'!B55+'Comptes Lots'!B78+'Comptes Lots'!B101+'Comptes Lots'!B124+'Comptes Lots'!B147+'Comptes Lots'!B170</f>
        <v>0</v>
      </c>
      <c r="H73" s="41">
        <f>H60+'Comptes Lots'!I9+'Comptes Lots'!I32+'Comptes Lots'!I55+'Comptes Lots'!I78+'Comptes Lots'!I101+'Comptes Lots'!I124+'Comptes Lots'!I147+'Comptes Lots'!I170</f>
        <v>0</v>
      </c>
      <c r="I73" s="64"/>
      <c r="J73" s="40" t="s">
        <v>117</v>
      </c>
      <c r="K73" s="41">
        <f aca="true" t="shared" si="206" ref="K73:Q73">SUM(K64,K65,K66,K67,K68,K69,K70,K71,K72)</f>
        <v>0</v>
      </c>
      <c r="L73" s="41">
        <f t="shared" si="206"/>
        <v>0</v>
      </c>
      <c r="M73" s="41">
        <f t="shared" si="206"/>
        <v>0</v>
      </c>
      <c r="N73" s="41">
        <f t="shared" si="206"/>
        <v>0</v>
      </c>
      <c r="O73" s="41">
        <f t="shared" si="206"/>
        <v>0</v>
      </c>
      <c r="P73" s="41">
        <f t="shared" si="206"/>
        <v>0</v>
      </c>
      <c r="Q73" s="41">
        <f t="shared" si="206"/>
        <v>0</v>
      </c>
      <c r="R73" s="41">
        <f aca="true" t="shared" si="207" ref="R73:Y73">SUM(R64,R65,R66,R67,R68,R69,R70,R71,R72)</f>
        <v>0</v>
      </c>
      <c r="S73" s="41">
        <f t="shared" si="207"/>
        <v>0</v>
      </c>
      <c r="T73" s="41">
        <f t="shared" si="207"/>
        <v>0</v>
      </c>
      <c r="U73" s="41">
        <f t="shared" si="207"/>
        <v>0</v>
      </c>
      <c r="V73" s="42">
        <f t="shared" si="207"/>
        <v>0</v>
      </c>
      <c r="W73" s="42">
        <f t="shared" si="207"/>
        <v>0</v>
      </c>
      <c r="X73" s="42">
        <f t="shared" si="207"/>
        <v>0</v>
      </c>
      <c r="Y73" s="41">
        <f t="shared" si="207"/>
        <v>0</v>
      </c>
      <c r="Z73" s="133">
        <f aca="true" t="shared" si="208" ref="Z73:AT73">SUM(Z64,Z65,Z66,Z67,Z68,Z69,Z70,Z71,Z72)</f>
        <v>0</v>
      </c>
      <c r="AA73" s="133">
        <f t="shared" si="208"/>
        <v>0</v>
      </c>
      <c r="AB73" s="133">
        <f t="shared" si="208"/>
        <v>0</v>
      </c>
      <c r="AC73" s="133">
        <f t="shared" si="208"/>
        <v>0</v>
      </c>
      <c r="AD73" s="133">
        <f t="shared" si="208"/>
        <v>0</v>
      </c>
      <c r="AE73" s="134">
        <f t="shared" si="208"/>
        <v>0</v>
      </c>
      <c r="AF73" s="133">
        <f t="shared" si="208"/>
        <v>0</v>
      </c>
      <c r="AG73" s="133">
        <f t="shared" si="208"/>
        <v>0</v>
      </c>
      <c r="AH73" s="133">
        <f t="shared" si="208"/>
        <v>0</v>
      </c>
      <c r="AI73" s="133">
        <f t="shared" si="208"/>
        <v>0</v>
      </c>
      <c r="AJ73" s="133">
        <f t="shared" si="208"/>
        <v>0</v>
      </c>
      <c r="AK73" s="133">
        <f t="shared" si="208"/>
        <v>0</v>
      </c>
      <c r="AL73" s="133">
        <f t="shared" si="208"/>
        <v>0</v>
      </c>
      <c r="AM73" s="134">
        <f t="shared" si="208"/>
        <v>0</v>
      </c>
      <c r="AN73" s="133">
        <f t="shared" si="208"/>
        <v>0</v>
      </c>
      <c r="AO73" s="133">
        <f t="shared" si="208"/>
        <v>0</v>
      </c>
      <c r="AP73" s="133">
        <f t="shared" si="208"/>
        <v>0</v>
      </c>
      <c r="AQ73" s="133">
        <f t="shared" si="208"/>
        <v>0</v>
      </c>
      <c r="AR73" s="133">
        <f t="shared" si="208"/>
        <v>0</v>
      </c>
      <c r="AS73" s="133">
        <f t="shared" si="208"/>
        <v>0</v>
      </c>
      <c r="AT73" s="133">
        <f t="shared" si="208"/>
        <v>0</v>
      </c>
      <c r="AX73" s="329">
        <f>SUM(AX64,AX65,AX66,AX67,AX68,AX69,AX70,AX71,AX72)</f>
        <v>0</v>
      </c>
      <c r="AY73" s="329">
        <f>SUM(AY64,AY65,AY66,AY67,AY68,AY69,AY70,AY71,AY72)</f>
        <v>0</v>
      </c>
    </row>
    <row r="74" spans="1:25" ht="9.75" customHeight="1">
      <c r="A74" s="11"/>
      <c r="B74" s="11"/>
      <c r="C74" s="11"/>
      <c r="D74" s="11"/>
      <c r="E74" s="11"/>
      <c r="F74" s="11"/>
      <c r="G74" s="11"/>
      <c r="H74" s="11"/>
      <c r="I74" s="50"/>
      <c r="J74" s="11"/>
      <c r="K74" s="11"/>
      <c r="L74" s="11"/>
      <c r="M74" s="11"/>
      <c r="N74" s="11"/>
      <c r="O74" s="11"/>
      <c r="P74" s="11"/>
      <c r="Q74" s="11"/>
      <c r="Y74" s="1"/>
    </row>
    <row r="75" spans="1:51" ht="18" customHeight="1">
      <c r="A75" s="39" t="s">
        <v>189</v>
      </c>
      <c r="B75" s="15"/>
      <c r="C75" s="15"/>
      <c r="D75" s="39"/>
      <c r="E75" s="39"/>
      <c r="F75" s="39" t="s">
        <v>324</v>
      </c>
      <c r="G75" s="15"/>
      <c r="H75" s="15"/>
      <c r="I75" s="52"/>
      <c r="J75" s="39" t="s">
        <v>189</v>
      </c>
      <c r="K75" s="39" t="s">
        <v>116</v>
      </c>
      <c r="L75" s="39"/>
      <c r="M75" s="15"/>
      <c r="N75" s="15"/>
      <c r="O75" s="14"/>
      <c r="P75" s="14"/>
      <c r="Q75" s="16"/>
      <c r="R75" s="39" t="s">
        <v>346</v>
      </c>
      <c r="S75" s="15"/>
      <c r="T75" s="15"/>
      <c r="U75" s="15"/>
      <c r="V75" s="14"/>
      <c r="W75" s="14"/>
      <c r="X75" s="14"/>
      <c r="Y75" s="16"/>
      <c r="Z75" s="127" t="s">
        <v>134</v>
      </c>
      <c r="AA75" s="128" t="s">
        <v>70</v>
      </c>
      <c r="AB75" s="103"/>
      <c r="AC75" s="103"/>
      <c r="AD75" s="103"/>
      <c r="AE75" s="129"/>
      <c r="AF75" s="129"/>
      <c r="AG75" s="92"/>
      <c r="AH75" s="92"/>
      <c r="AI75" s="92"/>
      <c r="AJ75" s="92"/>
      <c r="AK75" s="92"/>
      <c r="AL75" s="92"/>
      <c r="AM75" s="92"/>
      <c r="AN75" s="92"/>
      <c r="AO75" s="92"/>
      <c r="AP75" s="92"/>
      <c r="AQ75" s="92"/>
      <c r="AR75" s="92"/>
      <c r="AS75" s="92"/>
      <c r="AT75" s="95"/>
      <c r="AX75" s="93" t="s">
        <v>221</v>
      </c>
      <c r="AY75" s="93"/>
    </row>
    <row r="76" spans="1:51" ht="18" customHeight="1">
      <c r="A76" s="19" t="s">
        <v>292</v>
      </c>
      <c r="B76" s="19" t="s">
        <v>305</v>
      </c>
      <c r="C76" s="19" t="s">
        <v>320</v>
      </c>
      <c r="D76" s="35" t="s">
        <v>118</v>
      </c>
      <c r="E76" s="35" t="s">
        <v>326</v>
      </c>
      <c r="F76" s="35" t="s">
        <v>321</v>
      </c>
      <c r="G76" s="48" t="s">
        <v>323</v>
      </c>
      <c r="H76" s="43" t="s">
        <v>322</v>
      </c>
      <c r="I76" s="52"/>
      <c r="J76" s="19" t="s">
        <v>134</v>
      </c>
      <c r="K76" s="19" t="str">
        <f aca="true" t="shared" si="209" ref="K76:Q76">K63</f>
        <v>Générales</v>
      </c>
      <c r="L76" s="19" t="str">
        <f t="shared" si="209"/>
        <v>Escalier</v>
      </c>
      <c r="M76" s="19" t="str">
        <f t="shared" si="209"/>
        <v>Eau</v>
      </c>
      <c r="N76" s="19" t="str">
        <f t="shared" si="209"/>
        <v>Charge1</v>
      </c>
      <c r="O76" s="19" t="str">
        <f t="shared" si="209"/>
        <v>Charge2</v>
      </c>
      <c r="P76" s="19" t="str">
        <f t="shared" si="209"/>
        <v>Travaux</v>
      </c>
      <c r="Q76" s="19" t="str">
        <f t="shared" si="209"/>
        <v>Provision</v>
      </c>
      <c r="R76" s="19" t="s">
        <v>52</v>
      </c>
      <c r="S76" s="19" t="s">
        <v>408</v>
      </c>
      <c r="T76" s="19" t="s">
        <v>53</v>
      </c>
      <c r="U76" s="19" t="s">
        <v>300</v>
      </c>
      <c r="V76" s="13" t="s">
        <v>209</v>
      </c>
      <c r="W76" s="13" t="s">
        <v>469</v>
      </c>
      <c r="X76" s="13" t="s">
        <v>470</v>
      </c>
      <c r="Y76" s="34" t="s">
        <v>43</v>
      </c>
      <c r="Z76" s="130">
        <v>60</v>
      </c>
      <c r="AA76" s="130">
        <v>61</v>
      </c>
      <c r="AB76" s="130">
        <v>62</v>
      </c>
      <c r="AC76" s="130">
        <v>63</v>
      </c>
      <c r="AD76" s="130">
        <v>64</v>
      </c>
      <c r="AE76" s="131">
        <v>66</v>
      </c>
      <c r="AF76" s="132">
        <v>661</v>
      </c>
      <c r="AG76" s="138">
        <v>671</v>
      </c>
      <c r="AH76" s="132">
        <v>672</v>
      </c>
      <c r="AI76" s="132">
        <v>673</v>
      </c>
      <c r="AJ76" s="132">
        <v>677</v>
      </c>
      <c r="AK76" s="132">
        <v>68</v>
      </c>
      <c r="AL76" s="132">
        <v>701</v>
      </c>
      <c r="AM76" s="132">
        <v>702</v>
      </c>
      <c r="AN76" s="132">
        <v>703</v>
      </c>
      <c r="AO76" s="132">
        <v>704</v>
      </c>
      <c r="AP76" s="132">
        <v>711</v>
      </c>
      <c r="AQ76" s="132">
        <v>712</v>
      </c>
      <c r="AR76" s="132">
        <v>713</v>
      </c>
      <c r="AS76" s="132">
        <v>714</v>
      </c>
      <c r="AT76" s="93"/>
      <c r="AX76" s="93" t="s">
        <v>442</v>
      </c>
      <c r="AY76" s="93" t="s">
        <v>303</v>
      </c>
    </row>
    <row r="77" spans="1:51" ht="18" customHeight="1">
      <c r="A77" s="339"/>
      <c r="B77" s="202"/>
      <c r="C77" s="346"/>
      <c r="D77" s="203"/>
      <c r="E77" s="325"/>
      <c r="F77" s="204"/>
      <c r="G77" s="45"/>
      <c r="H77" s="45"/>
      <c r="I77" s="53"/>
      <c r="J77" s="200"/>
      <c r="K77" s="60">
        <f aca="true" t="shared" si="210" ref="K77:K85">IF(D77="Générales",C77,"")</f>
      </c>
      <c r="L77" s="60">
        <f aca="true" t="shared" si="211" ref="L77:L85">IF(D77="Escalier",C77,"")</f>
      </c>
      <c r="M77" s="60">
        <f aca="true" t="shared" si="212" ref="M77:M85">IF(D77="Eau",C77,"")</f>
      </c>
      <c r="N77" s="60">
        <f aca="true" t="shared" si="213" ref="N77:N85">IF(D77="Spéciales1",C77,"")</f>
      </c>
      <c r="O77" s="60">
        <f aca="true" t="shared" si="214" ref="O77:O85">IF(D77="Spéciales2",C77,"")</f>
      </c>
      <c r="P77" s="60">
        <f aca="true" t="shared" si="215" ref="P77:P85">IF(D77="Travaux",C77,"")</f>
      </c>
      <c r="Q77" s="60">
        <f aca="true" t="shared" si="216" ref="Q77:Q85">IF(D77="Provision",C77,"")</f>
      </c>
      <c r="R77" s="60">
        <f aca="true" t="shared" si="217" ref="R77:R85">IF(D77="Lot n°1",C77,"")</f>
      </c>
      <c r="S77" s="60">
        <f aca="true" t="shared" si="218" ref="S77:S85">IF(D77="Lot n°2",C77,"")</f>
      </c>
      <c r="T77" s="60">
        <f aca="true" t="shared" si="219" ref="T77:T85">IF(D77="Lot n°3",C77,"")</f>
      </c>
      <c r="U77" s="60">
        <f aca="true" t="shared" si="220" ref="U77:U85">IF(D77="Lot n°4",C77,"")</f>
      </c>
      <c r="V77" s="61">
        <f aca="true" t="shared" si="221" ref="V77:V85">IF(D77="Lot n°5",C77,"")</f>
      </c>
      <c r="W77" s="61">
        <f>IF(D77="Lot n°6",C77,"")</f>
      </c>
      <c r="X77" s="61">
        <f>IF(D77="Lot n°7",C77,"")</f>
      </c>
      <c r="Y77" s="60">
        <f aca="true" t="shared" si="222" ref="Y77:Y85">IF(D77="Lot n°M",C77,"")</f>
      </c>
      <c r="Z77" s="137">
        <f aca="true" t="shared" si="223" ref="Z77:Z85">IF(J77="60 Achat de matières et fournitures",C77,"")</f>
      </c>
      <c r="AA77" s="135">
        <f aca="true" t="shared" si="224" ref="AA77:AA85">IF(J77="61 Services extérieurs",C77,"")</f>
      </c>
      <c r="AB77" s="135">
        <f aca="true" t="shared" si="225" ref="AB77:AB85">IF(J77="62 Frais d'administration et honoraires",C77,"")</f>
      </c>
      <c r="AC77" s="135">
        <f aca="true" t="shared" si="226" ref="AC77:AC85">IF(J77="63 Impôts - taxes et versements assimilés",C77,"")</f>
      </c>
      <c r="AD77" s="135">
        <f aca="true" t="shared" si="227" ref="AD77:AD85">IF(J77="64 Frais de personnel",C77,"")</f>
      </c>
      <c r="AE77" s="136">
        <f aca="true" t="shared" si="228" ref="AE77:AE85">IF(J77="66 Charges financières des emprunts, agios",C77,"")</f>
      </c>
      <c r="AF77" s="135">
        <f aca="true" t="shared" si="229" ref="AF77:AF85">IF(J77="661 Rembourcement d'annuités d'emprunt",C77,"")</f>
      </c>
      <c r="AG77" s="123">
        <f aca="true" t="shared" si="230" ref="AG77:AG85">IF(J77="671 Travaux décidés par l'AG",C77,"")</f>
      </c>
      <c r="AH77" s="123">
        <f aca="true" t="shared" si="231" ref="AH77:AH85">IF(J77="672 Travaux urgents",C77,"")</f>
      </c>
      <c r="AI77" s="123">
        <f aca="true" t="shared" si="232" ref="AI77:AI85">IF(J77="673 Etudes techniques, diagnostic",C77,"")</f>
      </c>
      <c r="AJ77" s="123">
        <f aca="true" t="shared" si="233" ref="AJ77:AJ85">IF(J77="677 Pertes sur créances irrécouvrables",C77,"")</f>
      </c>
      <c r="AK77" s="123">
        <f aca="true" t="shared" si="234" ref="AK77:AK85">IF(J77="68 Dotations aux dépréciations sur créances douteuses",C77,"")</f>
      </c>
      <c r="AL77" s="123">
        <f aca="true" t="shared" si="235" ref="AL77:AL85">IF(J77="701 Provisions sur opérations courantes",C77,"")</f>
      </c>
      <c r="AM77" s="123">
        <f aca="true" t="shared" si="236" ref="AM77:AM85">IF(J77="702 Provisions pour travaux",C77,"")</f>
      </c>
      <c r="AN77" s="123">
        <f aca="true" t="shared" si="237" ref="AN77:AN85">IF(J77="703 Avances",C77,"")</f>
      </c>
      <c r="AO77" s="123">
        <f aca="true" t="shared" si="238" ref="AO77:AO85">IF(J77="704 Rembourcement d'emprunt",C77,"")</f>
      </c>
      <c r="AP77" s="123">
        <f aca="true" t="shared" si="239" ref="AP77:AP85">IF(J77="711 Subventions sur travaux",C77,"")</f>
      </c>
      <c r="AQ77" s="123">
        <f aca="true" t="shared" si="240" ref="AQ77:AQ85">IF(J77="712 Emprunts",C77,"")</f>
      </c>
      <c r="AR77" s="123">
        <f aca="true" t="shared" si="241" ref="AR77:AR85">IF(J77="713 Indemnités d'assurances",C77,"")</f>
      </c>
      <c r="AS77" s="123">
        <f aca="true" t="shared" si="242" ref="AS77:AS85">IF(J77="714 Produits divers",C77,"")</f>
      </c>
      <c r="AT77" s="93">
        <f aca="true" t="shared" si="243" ref="AT77:AT85">IF(J77="78 Reprises de dépréciations sur créance",C77,"")</f>
      </c>
      <c r="AX77" s="328">
        <f aca="true" t="shared" si="244" ref="AX77:AX85">IF(E77="Locataires",K77,"")</f>
      </c>
      <c r="AY77" s="328">
        <f aca="true" t="shared" si="245" ref="AY77:AY85">IF(E77="Locataires",L77,"")</f>
      </c>
    </row>
    <row r="78" spans="1:51" ht="18" customHeight="1">
      <c r="A78" s="339"/>
      <c r="B78" s="202"/>
      <c r="C78" s="346"/>
      <c r="D78" s="203"/>
      <c r="E78" s="325"/>
      <c r="F78" s="205"/>
      <c r="G78" s="46"/>
      <c r="H78" s="46"/>
      <c r="I78" s="53"/>
      <c r="J78" s="200"/>
      <c r="K78" s="60">
        <f t="shared" si="210"/>
      </c>
      <c r="L78" s="60">
        <f t="shared" si="211"/>
      </c>
      <c r="M78" s="60">
        <f t="shared" si="212"/>
      </c>
      <c r="N78" s="60">
        <f t="shared" si="213"/>
      </c>
      <c r="O78" s="60">
        <f t="shared" si="214"/>
      </c>
      <c r="P78" s="60">
        <f t="shared" si="215"/>
      </c>
      <c r="Q78" s="60">
        <f t="shared" si="216"/>
      </c>
      <c r="R78" s="60">
        <f t="shared" si="217"/>
      </c>
      <c r="S78" s="60">
        <f t="shared" si="218"/>
      </c>
      <c r="T78" s="60">
        <f t="shared" si="219"/>
      </c>
      <c r="U78" s="60">
        <f t="shared" si="220"/>
      </c>
      <c r="V78" s="61">
        <f t="shared" si="221"/>
      </c>
      <c r="W78" s="61">
        <f aca="true" t="shared" si="246" ref="W78:W85">IF(D78="Lot n°6",C78,"")</f>
      </c>
      <c r="X78" s="61">
        <f aca="true" t="shared" si="247" ref="X78:X85">IF(D78="Lot n°7",C78,"")</f>
      </c>
      <c r="Y78" s="60">
        <f t="shared" si="222"/>
      </c>
      <c r="Z78" s="137">
        <f t="shared" si="223"/>
      </c>
      <c r="AA78" s="135">
        <f t="shared" si="224"/>
      </c>
      <c r="AB78" s="135">
        <f t="shared" si="225"/>
      </c>
      <c r="AC78" s="135">
        <f t="shared" si="226"/>
      </c>
      <c r="AD78" s="135">
        <f t="shared" si="227"/>
      </c>
      <c r="AE78" s="136">
        <f t="shared" si="228"/>
      </c>
      <c r="AF78" s="135">
        <f t="shared" si="229"/>
      </c>
      <c r="AG78" s="123">
        <f t="shared" si="230"/>
      </c>
      <c r="AH78" s="123">
        <f t="shared" si="231"/>
      </c>
      <c r="AI78" s="123">
        <f t="shared" si="232"/>
      </c>
      <c r="AJ78" s="123">
        <f t="shared" si="233"/>
      </c>
      <c r="AK78" s="123">
        <f t="shared" si="234"/>
      </c>
      <c r="AL78" s="123">
        <f t="shared" si="235"/>
      </c>
      <c r="AM78" s="123">
        <f t="shared" si="236"/>
      </c>
      <c r="AN78" s="123">
        <f t="shared" si="237"/>
      </c>
      <c r="AO78" s="123">
        <f t="shared" si="238"/>
      </c>
      <c r="AP78" s="123">
        <f t="shared" si="239"/>
      </c>
      <c r="AQ78" s="123">
        <f t="shared" si="240"/>
      </c>
      <c r="AR78" s="123">
        <f t="shared" si="241"/>
      </c>
      <c r="AS78" s="123">
        <f t="shared" si="242"/>
      </c>
      <c r="AT78" s="93">
        <f t="shared" si="243"/>
      </c>
      <c r="AX78" s="328">
        <f t="shared" si="244"/>
      </c>
      <c r="AY78" s="328">
        <f t="shared" si="245"/>
      </c>
    </row>
    <row r="79" spans="1:51" ht="18" customHeight="1">
      <c r="A79" s="339"/>
      <c r="B79" s="202"/>
      <c r="C79" s="346"/>
      <c r="D79" s="203"/>
      <c r="E79" s="325"/>
      <c r="F79" s="205"/>
      <c r="G79" s="46"/>
      <c r="H79" s="46"/>
      <c r="I79" s="53"/>
      <c r="J79" s="200"/>
      <c r="K79" s="60">
        <f t="shared" si="210"/>
      </c>
      <c r="L79" s="60">
        <f t="shared" si="211"/>
      </c>
      <c r="M79" s="60">
        <f t="shared" si="212"/>
      </c>
      <c r="N79" s="60">
        <f t="shared" si="213"/>
      </c>
      <c r="O79" s="60">
        <f t="shared" si="214"/>
      </c>
      <c r="P79" s="60">
        <f t="shared" si="215"/>
      </c>
      <c r="Q79" s="60">
        <f t="shared" si="216"/>
      </c>
      <c r="R79" s="60">
        <f t="shared" si="217"/>
      </c>
      <c r="S79" s="60">
        <f t="shared" si="218"/>
      </c>
      <c r="T79" s="60">
        <f t="shared" si="219"/>
      </c>
      <c r="U79" s="60">
        <f t="shared" si="220"/>
      </c>
      <c r="V79" s="61">
        <f t="shared" si="221"/>
      </c>
      <c r="W79" s="61">
        <f t="shared" si="246"/>
      </c>
      <c r="X79" s="61">
        <f t="shared" si="247"/>
      </c>
      <c r="Y79" s="60">
        <f t="shared" si="222"/>
      </c>
      <c r="Z79" s="137">
        <f t="shared" si="223"/>
      </c>
      <c r="AA79" s="135">
        <f t="shared" si="224"/>
      </c>
      <c r="AB79" s="135">
        <f t="shared" si="225"/>
      </c>
      <c r="AC79" s="135">
        <f t="shared" si="226"/>
      </c>
      <c r="AD79" s="135">
        <f t="shared" si="227"/>
      </c>
      <c r="AE79" s="136">
        <f t="shared" si="228"/>
      </c>
      <c r="AF79" s="135">
        <f t="shared" si="229"/>
      </c>
      <c r="AG79" s="123">
        <f t="shared" si="230"/>
      </c>
      <c r="AH79" s="123">
        <f t="shared" si="231"/>
      </c>
      <c r="AI79" s="123">
        <f t="shared" si="232"/>
      </c>
      <c r="AJ79" s="123">
        <f t="shared" si="233"/>
      </c>
      <c r="AK79" s="123">
        <f t="shared" si="234"/>
      </c>
      <c r="AL79" s="123">
        <f t="shared" si="235"/>
      </c>
      <c r="AM79" s="123">
        <f t="shared" si="236"/>
      </c>
      <c r="AN79" s="123">
        <f t="shared" si="237"/>
      </c>
      <c r="AO79" s="123">
        <f t="shared" si="238"/>
      </c>
      <c r="AP79" s="123">
        <f t="shared" si="239"/>
      </c>
      <c r="AQ79" s="123">
        <f t="shared" si="240"/>
      </c>
      <c r="AR79" s="123">
        <f t="shared" si="241"/>
      </c>
      <c r="AS79" s="123">
        <f t="shared" si="242"/>
      </c>
      <c r="AT79" s="93">
        <f t="shared" si="243"/>
      </c>
      <c r="AX79" s="328">
        <f t="shared" si="244"/>
      </c>
      <c r="AY79" s="328">
        <f t="shared" si="245"/>
      </c>
    </row>
    <row r="80" spans="1:51" ht="18" customHeight="1">
      <c r="A80" s="339"/>
      <c r="B80" s="202"/>
      <c r="C80" s="346"/>
      <c r="D80" s="203"/>
      <c r="E80" s="325"/>
      <c r="F80" s="205"/>
      <c r="G80" s="46"/>
      <c r="H80" s="46"/>
      <c r="I80" s="53"/>
      <c r="J80" s="200"/>
      <c r="K80" s="60">
        <f t="shared" si="210"/>
      </c>
      <c r="L80" s="60">
        <f t="shared" si="211"/>
      </c>
      <c r="M80" s="60">
        <f t="shared" si="212"/>
      </c>
      <c r="N80" s="60">
        <f t="shared" si="213"/>
      </c>
      <c r="O80" s="60">
        <f t="shared" si="214"/>
      </c>
      <c r="P80" s="60">
        <f t="shared" si="215"/>
      </c>
      <c r="Q80" s="60">
        <f t="shared" si="216"/>
      </c>
      <c r="R80" s="60">
        <f t="shared" si="217"/>
      </c>
      <c r="S80" s="60">
        <f t="shared" si="218"/>
      </c>
      <c r="T80" s="60">
        <f t="shared" si="219"/>
      </c>
      <c r="U80" s="60">
        <f t="shared" si="220"/>
      </c>
      <c r="V80" s="61">
        <f t="shared" si="221"/>
      </c>
      <c r="W80" s="61">
        <f t="shared" si="246"/>
      </c>
      <c r="X80" s="61">
        <f t="shared" si="247"/>
      </c>
      <c r="Y80" s="60">
        <f t="shared" si="222"/>
      </c>
      <c r="Z80" s="137">
        <f t="shared" si="223"/>
      </c>
      <c r="AA80" s="135">
        <f t="shared" si="224"/>
      </c>
      <c r="AB80" s="135">
        <f t="shared" si="225"/>
      </c>
      <c r="AC80" s="135">
        <f t="shared" si="226"/>
      </c>
      <c r="AD80" s="135">
        <f t="shared" si="227"/>
      </c>
      <c r="AE80" s="136">
        <f t="shared" si="228"/>
      </c>
      <c r="AF80" s="135">
        <f t="shared" si="229"/>
      </c>
      <c r="AG80" s="123">
        <f t="shared" si="230"/>
      </c>
      <c r="AH80" s="123">
        <f t="shared" si="231"/>
      </c>
      <c r="AI80" s="123">
        <f t="shared" si="232"/>
      </c>
      <c r="AJ80" s="123">
        <f t="shared" si="233"/>
      </c>
      <c r="AK80" s="123">
        <f t="shared" si="234"/>
      </c>
      <c r="AL80" s="123">
        <f t="shared" si="235"/>
      </c>
      <c r="AM80" s="123">
        <f t="shared" si="236"/>
      </c>
      <c r="AN80" s="123">
        <f t="shared" si="237"/>
      </c>
      <c r="AO80" s="123">
        <f t="shared" si="238"/>
      </c>
      <c r="AP80" s="123">
        <f t="shared" si="239"/>
      </c>
      <c r="AQ80" s="123">
        <f t="shared" si="240"/>
      </c>
      <c r="AR80" s="123">
        <f t="shared" si="241"/>
      </c>
      <c r="AS80" s="123">
        <f t="shared" si="242"/>
      </c>
      <c r="AT80" s="93">
        <f t="shared" si="243"/>
      </c>
      <c r="AX80" s="328">
        <f t="shared" si="244"/>
      </c>
      <c r="AY80" s="328">
        <f t="shared" si="245"/>
      </c>
    </row>
    <row r="81" spans="1:51" ht="18" customHeight="1">
      <c r="A81" s="339"/>
      <c r="B81" s="202"/>
      <c r="C81" s="346"/>
      <c r="D81" s="203"/>
      <c r="E81" s="325"/>
      <c r="F81" s="205"/>
      <c r="G81" s="46"/>
      <c r="H81" s="46"/>
      <c r="I81" s="53"/>
      <c r="J81" s="200"/>
      <c r="K81" s="60">
        <f t="shared" si="210"/>
      </c>
      <c r="L81" s="60">
        <f t="shared" si="211"/>
      </c>
      <c r="M81" s="60">
        <f t="shared" si="212"/>
      </c>
      <c r="N81" s="60">
        <f t="shared" si="213"/>
      </c>
      <c r="O81" s="60">
        <f t="shared" si="214"/>
      </c>
      <c r="P81" s="60">
        <f t="shared" si="215"/>
      </c>
      <c r="Q81" s="60">
        <f t="shared" si="216"/>
      </c>
      <c r="R81" s="60">
        <f t="shared" si="217"/>
      </c>
      <c r="S81" s="60">
        <f t="shared" si="218"/>
      </c>
      <c r="T81" s="60">
        <f t="shared" si="219"/>
      </c>
      <c r="U81" s="60">
        <f t="shared" si="220"/>
      </c>
      <c r="V81" s="61">
        <f t="shared" si="221"/>
      </c>
      <c r="W81" s="61">
        <f t="shared" si="246"/>
      </c>
      <c r="X81" s="61">
        <f t="shared" si="247"/>
      </c>
      <c r="Y81" s="60">
        <f t="shared" si="222"/>
      </c>
      <c r="Z81" s="137">
        <f t="shared" si="223"/>
      </c>
      <c r="AA81" s="135">
        <f t="shared" si="224"/>
      </c>
      <c r="AB81" s="135">
        <f t="shared" si="225"/>
      </c>
      <c r="AC81" s="135">
        <f t="shared" si="226"/>
      </c>
      <c r="AD81" s="135">
        <f t="shared" si="227"/>
      </c>
      <c r="AE81" s="136">
        <f t="shared" si="228"/>
      </c>
      <c r="AF81" s="135">
        <f t="shared" si="229"/>
      </c>
      <c r="AG81" s="123">
        <f t="shared" si="230"/>
      </c>
      <c r="AH81" s="123">
        <f t="shared" si="231"/>
      </c>
      <c r="AI81" s="123">
        <f t="shared" si="232"/>
      </c>
      <c r="AJ81" s="123">
        <f t="shared" si="233"/>
      </c>
      <c r="AK81" s="123">
        <f t="shared" si="234"/>
      </c>
      <c r="AL81" s="123">
        <f t="shared" si="235"/>
      </c>
      <c r="AM81" s="123">
        <f t="shared" si="236"/>
      </c>
      <c r="AN81" s="123">
        <f t="shared" si="237"/>
      </c>
      <c r="AO81" s="123">
        <f t="shared" si="238"/>
      </c>
      <c r="AP81" s="123">
        <f t="shared" si="239"/>
      </c>
      <c r="AQ81" s="123">
        <f t="shared" si="240"/>
      </c>
      <c r="AR81" s="123">
        <f t="shared" si="241"/>
      </c>
      <c r="AS81" s="123">
        <f t="shared" si="242"/>
      </c>
      <c r="AT81" s="93">
        <f t="shared" si="243"/>
      </c>
      <c r="AX81" s="328">
        <f t="shared" si="244"/>
      </c>
      <c r="AY81" s="328">
        <f t="shared" si="245"/>
      </c>
    </row>
    <row r="82" spans="1:51" ht="18" customHeight="1">
      <c r="A82" s="339"/>
      <c r="B82" s="202"/>
      <c r="C82" s="346"/>
      <c r="D82" s="203"/>
      <c r="E82" s="325"/>
      <c r="F82" s="205"/>
      <c r="G82" s="46"/>
      <c r="H82" s="46"/>
      <c r="I82" s="53"/>
      <c r="J82" s="200"/>
      <c r="K82" s="60">
        <f t="shared" si="210"/>
      </c>
      <c r="L82" s="60">
        <f t="shared" si="211"/>
      </c>
      <c r="M82" s="60">
        <f t="shared" si="212"/>
      </c>
      <c r="N82" s="60">
        <f t="shared" si="213"/>
      </c>
      <c r="O82" s="60">
        <f t="shared" si="214"/>
      </c>
      <c r="P82" s="60">
        <f t="shared" si="215"/>
      </c>
      <c r="Q82" s="60">
        <f t="shared" si="216"/>
      </c>
      <c r="R82" s="60">
        <f t="shared" si="217"/>
      </c>
      <c r="S82" s="60">
        <f t="shared" si="218"/>
      </c>
      <c r="T82" s="60">
        <f t="shared" si="219"/>
      </c>
      <c r="U82" s="60">
        <f t="shared" si="220"/>
      </c>
      <c r="V82" s="61">
        <f t="shared" si="221"/>
      </c>
      <c r="W82" s="61">
        <f t="shared" si="246"/>
      </c>
      <c r="X82" s="61">
        <f t="shared" si="247"/>
      </c>
      <c r="Y82" s="60">
        <f t="shared" si="222"/>
      </c>
      <c r="Z82" s="137">
        <f t="shared" si="223"/>
      </c>
      <c r="AA82" s="135">
        <f t="shared" si="224"/>
      </c>
      <c r="AB82" s="135">
        <f t="shared" si="225"/>
      </c>
      <c r="AC82" s="135">
        <f t="shared" si="226"/>
      </c>
      <c r="AD82" s="135">
        <f t="shared" si="227"/>
      </c>
      <c r="AE82" s="136">
        <f t="shared" si="228"/>
      </c>
      <c r="AF82" s="135">
        <f t="shared" si="229"/>
      </c>
      <c r="AG82" s="123">
        <f t="shared" si="230"/>
      </c>
      <c r="AH82" s="123">
        <f t="shared" si="231"/>
      </c>
      <c r="AI82" s="123">
        <f t="shared" si="232"/>
      </c>
      <c r="AJ82" s="123">
        <f t="shared" si="233"/>
      </c>
      <c r="AK82" s="123">
        <f t="shared" si="234"/>
      </c>
      <c r="AL82" s="123">
        <f t="shared" si="235"/>
      </c>
      <c r="AM82" s="123">
        <f t="shared" si="236"/>
      </c>
      <c r="AN82" s="123">
        <f t="shared" si="237"/>
      </c>
      <c r="AO82" s="123">
        <f t="shared" si="238"/>
      </c>
      <c r="AP82" s="123">
        <f t="shared" si="239"/>
      </c>
      <c r="AQ82" s="123">
        <f t="shared" si="240"/>
      </c>
      <c r="AR82" s="123">
        <f t="shared" si="241"/>
      </c>
      <c r="AS82" s="123">
        <f t="shared" si="242"/>
      </c>
      <c r="AT82" s="93">
        <f t="shared" si="243"/>
      </c>
      <c r="AX82" s="328">
        <f t="shared" si="244"/>
      </c>
      <c r="AY82" s="328">
        <f t="shared" si="245"/>
      </c>
    </row>
    <row r="83" spans="1:51" ht="18" customHeight="1">
      <c r="A83" s="339"/>
      <c r="B83" s="202"/>
      <c r="C83" s="346"/>
      <c r="D83" s="203"/>
      <c r="E83" s="325"/>
      <c r="F83" s="205"/>
      <c r="G83" s="46"/>
      <c r="H83" s="46"/>
      <c r="I83" s="53"/>
      <c r="J83" s="200"/>
      <c r="K83" s="60">
        <f t="shared" si="210"/>
      </c>
      <c r="L83" s="60">
        <f t="shared" si="211"/>
      </c>
      <c r="M83" s="60">
        <f t="shared" si="212"/>
      </c>
      <c r="N83" s="60">
        <f t="shared" si="213"/>
      </c>
      <c r="O83" s="60">
        <f t="shared" si="214"/>
      </c>
      <c r="P83" s="60">
        <f t="shared" si="215"/>
      </c>
      <c r="Q83" s="60">
        <f t="shared" si="216"/>
      </c>
      <c r="R83" s="60">
        <f t="shared" si="217"/>
      </c>
      <c r="S83" s="60">
        <f t="shared" si="218"/>
      </c>
      <c r="T83" s="60">
        <f t="shared" si="219"/>
      </c>
      <c r="U83" s="60">
        <f t="shared" si="220"/>
      </c>
      <c r="V83" s="61">
        <f t="shared" si="221"/>
      </c>
      <c r="W83" s="61">
        <f t="shared" si="246"/>
      </c>
      <c r="X83" s="61">
        <f t="shared" si="247"/>
      </c>
      <c r="Y83" s="60">
        <f t="shared" si="222"/>
      </c>
      <c r="Z83" s="137">
        <f t="shared" si="223"/>
      </c>
      <c r="AA83" s="135">
        <f t="shared" si="224"/>
      </c>
      <c r="AB83" s="135">
        <f t="shared" si="225"/>
      </c>
      <c r="AC83" s="135">
        <f t="shared" si="226"/>
      </c>
      <c r="AD83" s="135">
        <f t="shared" si="227"/>
      </c>
      <c r="AE83" s="136">
        <f t="shared" si="228"/>
      </c>
      <c r="AF83" s="135">
        <f t="shared" si="229"/>
      </c>
      <c r="AG83" s="123">
        <f t="shared" si="230"/>
      </c>
      <c r="AH83" s="123">
        <f t="shared" si="231"/>
      </c>
      <c r="AI83" s="123">
        <f t="shared" si="232"/>
      </c>
      <c r="AJ83" s="123">
        <f t="shared" si="233"/>
      </c>
      <c r="AK83" s="123">
        <f t="shared" si="234"/>
      </c>
      <c r="AL83" s="123">
        <f t="shared" si="235"/>
      </c>
      <c r="AM83" s="123">
        <f t="shared" si="236"/>
      </c>
      <c r="AN83" s="123">
        <f t="shared" si="237"/>
      </c>
      <c r="AO83" s="123">
        <f t="shared" si="238"/>
      </c>
      <c r="AP83" s="123">
        <f t="shared" si="239"/>
      </c>
      <c r="AQ83" s="123">
        <f t="shared" si="240"/>
      </c>
      <c r="AR83" s="123">
        <f t="shared" si="241"/>
      </c>
      <c r="AS83" s="123">
        <f t="shared" si="242"/>
      </c>
      <c r="AT83" s="93">
        <f t="shared" si="243"/>
      </c>
      <c r="AX83" s="328">
        <f t="shared" si="244"/>
      </c>
      <c r="AY83" s="328">
        <f t="shared" si="245"/>
      </c>
    </row>
    <row r="84" spans="1:51" ht="18" customHeight="1">
      <c r="A84" s="339"/>
      <c r="B84" s="202"/>
      <c r="C84" s="346"/>
      <c r="D84" s="203"/>
      <c r="E84" s="325"/>
      <c r="F84" s="205"/>
      <c r="G84" s="46"/>
      <c r="H84" s="46"/>
      <c r="I84" s="53"/>
      <c r="J84" s="200"/>
      <c r="K84" s="60">
        <f t="shared" si="210"/>
      </c>
      <c r="L84" s="60">
        <f t="shared" si="211"/>
      </c>
      <c r="M84" s="60">
        <f t="shared" si="212"/>
      </c>
      <c r="N84" s="60">
        <f t="shared" si="213"/>
      </c>
      <c r="O84" s="60">
        <f t="shared" si="214"/>
      </c>
      <c r="P84" s="60">
        <f t="shared" si="215"/>
      </c>
      <c r="Q84" s="60">
        <f t="shared" si="216"/>
      </c>
      <c r="R84" s="60">
        <f t="shared" si="217"/>
      </c>
      <c r="S84" s="60">
        <f t="shared" si="218"/>
      </c>
      <c r="T84" s="60">
        <f t="shared" si="219"/>
      </c>
      <c r="U84" s="60">
        <f t="shared" si="220"/>
      </c>
      <c r="V84" s="61">
        <f t="shared" si="221"/>
      </c>
      <c r="W84" s="61">
        <f t="shared" si="246"/>
      </c>
      <c r="X84" s="61">
        <f t="shared" si="247"/>
      </c>
      <c r="Y84" s="60">
        <f t="shared" si="222"/>
      </c>
      <c r="Z84" s="137">
        <f t="shared" si="223"/>
      </c>
      <c r="AA84" s="135">
        <f t="shared" si="224"/>
      </c>
      <c r="AB84" s="135">
        <f t="shared" si="225"/>
      </c>
      <c r="AC84" s="135">
        <f t="shared" si="226"/>
      </c>
      <c r="AD84" s="135">
        <f t="shared" si="227"/>
      </c>
      <c r="AE84" s="136">
        <f t="shared" si="228"/>
      </c>
      <c r="AF84" s="135">
        <f t="shared" si="229"/>
      </c>
      <c r="AG84" s="123">
        <f t="shared" si="230"/>
      </c>
      <c r="AH84" s="123">
        <f t="shared" si="231"/>
      </c>
      <c r="AI84" s="123">
        <f t="shared" si="232"/>
      </c>
      <c r="AJ84" s="123">
        <f t="shared" si="233"/>
      </c>
      <c r="AK84" s="123">
        <f t="shared" si="234"/>
      </c>
      <c r="AL84" s="123">
        <f t="shared" si="235"/>
      </c>
      <c r="AM84" s="123">
        <f t="shared" si="236"/>
      </c>
      <c r="AN84" s="123">
        <f t="shared" si="237"/>
      </c>
      <c r="AO84" s="123">
        <f t="shared" si="238"/>
      </c>
      <c r="AP84" s="123">
        <f t="shared" si="239"/>
      </c>
      <c r="AQ84" s="123">
        <f t="shared" si="240"/>
      </c>
      <c r="AR84" s="123">
        <f t="shared" si="241"/>
      </c>
      <c r="AS84" s="123">
        <f t="shared" si="242"/>
      </c>
      <c r="AT84" s="93">
        <f t="shared" si="243"/>
      </c>
      <c r="AX84" s="328">
        <f t="shared" si="244"/>
      </c>
      <c r="AY84" s="328">
        <f t="shared" si="245"/>
      </c>
    </row>
    <row r="85" spans="1:51" ht="18" customHeight="1">
      <c r="A85" s="339"/>
      <c r="B85" s="202"/>
      <c r="C85" s="346"/>
      <c r="D85" s="203"/>
      <c r="E85" s="325"/>
      <c r="F85" s="345"/>
      <c r="G85" s="47"/>
      <c r="H85" s="46"/>
      <c r="I85" s="53"/>
      <c r="J85" s="200"/>
      <c r="K85" s="60">
        <f t="shared" si="210"/>
      </c>
      <c r="L85" s="60">
        <f t="shared" si="211"/>
      </c>
      <c r="M85" s="60">
        <f t="shared" si="212"/>
      </c>
      <c r="N85" s="60">
        <f t="shared" si="213"/>
      </c>
      <c r="O85" s="60">
        <f t="shared" si="214"/>
      </c>
      <c r="P85" s="60">
        <f t="shared" si="215"/>
      </c>
      <c r="Q85" s="60">
        <f t="shared" si="216"/>
      </c>
      <c r="R85" s="60">
        <f t="shared" si="217"/>
      </c>
      <c r="S85" s="60">
        <f t="shared" si="218"/>
      </c>
      <c r="T85" s="60">
        <f t="shared" si="219"/>
      </c>
      <c r="U85" s="60">
        <f t="shared" si="220"/>
      </c>
      <c r="V85" s="61">
        <f t="shared" si="221"/>
      </c>
      <c r="W85" s="61">
        <f t="shared" si="246"/>
      </c>
      <c r="X85" s="61">
        <f t="shared" si="247"/>
      </c>
      <c r="Y85" s="60">
        <f t="shared" si="222"/>
      </c>
      <c r="Z85" s="137">
        <f t="shared" si="223"/>
      </c>
      <c r="AA85" s="135">
        <f t="shared" si="224"/>
      </c>
      <c r="AB85" s="135">
        <f t="shared" si="225"/>
      </c>
      <c r="AC85" s="135">
        <f t="shared" si="226"/>
      </c>
      <c r="AD85" s="135">
        <f t="shared" si="227"/>
      </c>
      <c r="AE85" s="136">
        <f t="shared" si="228"/>
      </c>
      <c r="AF85" s="135">
        <f t="shared" si="229"/>
      </c>
      <c r="AG85" s="123">
        <f t="shared" si="230"/>
      </c>
      <c r="AH85" s="123">
        <f t="shared" si="231"/>
      </c>
      <c r="AI85" s="123">
        <f t="shared" si="232"/>
      </c>
      <c r="AJ85" s="123">
        <f t="shared" si="233"/>
      </c>
      <c r="AK85" s="123">
        <f t="shared" si="234"/>
      </c>
      <c r="AL85" s="123">
        <f t="shared" si="235"/>
      </c>
      <c r="AM85" s="123">
        <f t="shared" si="236"/>
      </c>
      <c r="AN85" s="123">
        <f t="shared" si="237"/>
      </c>
      <c r="AO85" s="123">
        <f t="shared" si="238"/>
      </c>
      <c r="AP85" s="123">
        <f t="shared" si="239"/>
      </c>
      <c r="AQ85" s="123">
        <f t="shared" si="240"/>
      </c>
      <c r="AR85" s="123">
        <f t="shared" si="241"/>
      </c>
      <c r="AS85" s="123">
        <f t="shared" si="242"/>
      </c>
      <c r="AT85" s="93">
        <f t="shared" si="243"/>
      </c>
      <c r="AX85" s="328">
        <f t="shared" si="244"/>
      </c>
      <c r="AY85" s="328">
        <f t="shared" si="245"/>
      </c>
    </row>
    <row r="86" spans="1:51" ht="18" customHeight="1">
      <c r="A86" s="40" t="s">
        <v>117</v>
      </c>
      <c r="B86" s="29"/>
      <c r="C86" s="41">
        <f>SUM(C77,C78,C79,C80,C81,C82,C83,C84,C85)</f>
        <v>0</v>
      </c>
      <c r="D86" s="36">
        <f>D73+C86</f>
        <v>0</v>
      </c>
      <c r="E86" s="327"/>
      <c r="F86" s="203"/>
      <c r="G86" s="49">
        <f>'Comptes Lots'!B10+'Comptes Lots'!B33+'Comptes Lots'!B56+'Comptes Lots'!B79+'Comptes Lots'!B102+'Comptes Lots'!B125+'Comptes Lots'!B148+'Comptes Lots'!B171</f>
        <v>0</v>
      </c>
      <c r="H86" s="41">
        <f>H73+'Comptes Lots'!I10+'Comptes Lots'!I33+'Comptes Lots'!I56+'Comptes Lots'!I79+'Comptes Lots'!I102+'Comptes Lots'!I125+'Comptes Lots'!I148+'Comptes Lots'!I171</f>
        <v>0</v>
      </c>
      <c r="I86" s="64"/>
      <c r="J86" s="40" t="s">
        <v>117</v>
      </c>
      <c r="K86" s="41">
        <f aca="true" t="shared" si="248" ref="K86:Q86">SUM(K77,K78,K79,K80,K81,K82,K83,K84,K85)</f>
        <v>0</v>
      </c>
      <c r="L86" s="41">
        <f t="shared" si="248"/>
        <v>0</v>
      </c>
      <c r="M86" s="41">
        <f t="shared" si="248"/>
        <v>0</v>
      </c>
      <c r="N86" s="41">
        <f t="shared" si="248"/>
        <v>0</v>
      </c>
      <c r="O86" s="41">
        <f t="shared" si="248"/>
        <v>0</v>
      </c>
      <c r="P86" s="41">
        <f t="shared" si="248"/>
        <v>0</v>
      </c>
      <c r="Q86" s="41">
        <f t="shared" si="248"/>
        <v>0</v>
      </c>
      <c r="R86" s="41">
        <f aca="true" t="shared" si="249" ref="R86:Y86">SUM(R77,R78,R79,R80,R81,R82,R83,R84,R85)</f>
        <v>0</v>
      </c>
      <c r="S86" s="41">
        <f t="shared" si="249"/>
        <v>0</v>
      </c>
      <c r="T86" s="41">
        <f t="shared" si="249"/>
        <v>0</v>
      </c>
      <c r="U86" s="41">
        <f t="shared" si="249"/>
        <v>0</v>
      </c>
      <c r="V86" s="42">
        <f t="shared" si="249"/>
        <v>0</v>
      </c>
      <c r="W86" s="42">
        <f t="shared" si="249"/>
        <v>0</v>
      </c>
      <c r="X86" s="42">
        <f t="shared" si="249"/>
        <v>0</v>
      </c>
      <c r="Y86" s="41">
        <f t="shared" si="249"/>
        <v>0</v>
      </c>
      <c r="Z86" s="133">
        <f aca="true" t="shared" si="250" ref="Z86:AT86">SUM(Z77,Z78,Z79,Z80,Z81,Z82,Z83,Z84,Z85)</f>
        <v>0</v>
      </c>
      <c r="AA86" s="133">
        <f t="shared" si="250"/>
        <v>0</v>
      </c>
      <c r="AB86" s="133">
        <f t="shared" si="250"/>
        <v>0</v>
      </c>
      <c r="AC86" s="133">
        <f t="shared" si="250"/>
        <v>0</v>
      </c>
      <c r="AD86" s="133">
        <f t="shared" si="250"/>
        <v>0</v>
      </c>
      <c r="AE86" s="134">
        <f t="shared" si="250"/>
        <v>0</v>
      </c>
      <c r="AF86" s="133">
        <f t="shared" si="250"/>
        <v>0</v>
      </c>
      <c r="AG86" s="133">
        <f t="shared" si="250"/>
        <v>0</v>
      </c>
      <c r="AH86" s="133">
        <f t="shared" si="250"/>
        <v>0</v>
      </c>
      <c r="AI86" s="133">
        <f t="shared" si="250"/>
        <v>0</v>
      </c>
      <c r="AJ86" s="133">
        <f t="shared" si="250"/>
        <v>0</v>
      </c>
      <c r="AK86" s="133">
        <f t="shared" si="250"/>
        <v>0</v>
      </c>
      <c r="AL86" s="133">
        <f t="shared" si="250"/>
        <v>0</v>
      </c>
      <c r="AM86" s="134">
        <f t="shared" si="250"/>
        <v>0</v>
      </c>
      <c r="AN86" s="133">
        <f t="shared" si="250"/>
        <v>0</v>
      </c>
      <c r="AO86" s="133">
        <f t="shared" si="250"/>
        <v>0</v>
      </c>
      <c r="AP86" s="133">
        <f t="shared" si="250"/>
        <v>0</v>
      </c>
      <c r="AQ86" s="133">
        <f t="shared" si="250"/>
        <v>0</v>
      </c>
      <c r="AR86" s="133">
        <f t="shared" si="250"/>
        <v>0</v>
      </c>
      <c r="AS86" s="133">
        <f t="shared" si="250"/>
        <v>0</v>
      </c>
      <c r="AT86" s="133">
        <f t="shared" si="250"/>
        <v>0</v>
      </c>
      <c r="AX86" s="329">
        <f>SUM(AX77,AX78,AX79,AX80,AX81,AX82,AX83,AX84,AX85)</f>
        <v>0</v>
      </c>
      <c r="AY86" s="329">
        <f>SUM(AY77,AY78,AY79,AY80,AY81,AY82,AY83,AY84,AY85)</f>
        <v>0</v>
      </c>
    </row>
    <row r="87" spans="1:25" ht="18" customHeight="1">
      <c r="A87" s="9" t="s">
        <v>438</v>
      </c>
      <c r="H87" s="54">
        <f>H44</f>
        <v>0</v>
      </c>
      <c r="J87" s="9" t="s">
        <v>438</v>
      </c>
      <c r="L87" s="11"/>
      <c r="M87" s="10"/>
      <c r="N87" s="11"/>
      <c r="O87" s="11"/>
      <c r="P87" s="54">
        <f>H87</f>
        <v>0</v>
      </c>
      <c r="Q87" s="9" t="s">
        <v>438</v>
      </c>
      <c r="R87" s="10"/>
      <c r="S87" s="10"/>
      <c r="T87" s="10"/>
      <c r="U87" s="11"/>
      <c r="V87" s="11"/>
      <c r="W87" s="11"/>
      <c r="X87" s="11"/>
      <c r="Y87" s="54">
        <f>H87</f>
        <v>0</v>
      </c>
    </row>
    <row r="88" spans="8:25" ht="18" customHeight="1">
      <c r="H88" s="54">
        <f>H45</f>
        <v>0</v>
      </c>
      <c r="J88" s="11"/>
      <c r="K88" s="11"/>
      <c r="L88" s="11"/>
      <c r="M88" s="10"/>
      <c r="N88" s="11"/>
      <c r="O88" s="11"/>
      <c r="P88" s="54">
        <f>H88</f>
        <v>0</v>
      </c>
      <c r="Q88" s="54"/>
      <c r="R88" s="10"/>
      <c r="S88" s="10"/>
      <c r="T88" s="10"/>
      <c r="U88" s="11"/>
      <c r="V88" s="11"/>
      <c r="W88" s="11"/>
      <c r="X88" s="11"/>
      <c r="Y88" s="54">
        <f>H88</f>
        <v>0</v>
      </c>
    </row>
    <row r="89" spans="1:25" ht="18" customHeight="1">
      <c r="A89" s="10" t="str">
        <f>A46</f>
        <v>Exercice 2015</v>
      </c>
      <c r="J89" s="62" t="str">
        <f>A89</f>
        <v>Exercice 2015</v>
      </c>
      <c r="K89" s="11"/>
      <c r="L89" s="11"/>
      <c r="M89" s="11"/>
      <c r="N89" s="11"/>
      <c r="O89" s="11"/>
      <c r="P89" s="11"/>
      <c r="Q89" s="10" t="str">
        <f>A89</f>
        <v>Exercice 2015</v>
      </c>
      <c r="R89" s="10"/>
      <c r="S89" s="11"/>
      <c r="T89" s="10"/>
      <c r="U89" s="11"/>
      <c r="V89" s="11"/>
      <c r="W89" s="11"/>
      <c r="X89" s="11"/>
      <c r="Y89" s="11"/>
    </row>
    <row r="90" spans="1:25" ht="18" customHeight="1">
      <c r="A90" s="10" t="s">
        <v>172</v>
      </c>
      <c r="H90" s="54"/>
      <c r="J90" s="10" t="s">
        <v>172</v>
      </c>
      <c r="Q90" s="10" t="s">
        <v>172</v>
      </c>
      <c r="Y90" s="54"/>
    </row>
    <row r="91" spans="4:25" ht="18" customHeight="1">
      <c r="D91" s="54" t="s">
        <v>132</v>
      </c>
      <c r="E91" s="54"/>
      <c r="F91" s="68">
        <f>F86</f>
        <v>0</v>
      </c>
      <c r="G91" s="68">
        <f>G86</f>
        <v>0</v>
      </c>
      <c r="H91" s="68">
        <f>H86</f>
        <v>0</v>
      </c>
      <c r="O91" s="11"/>
      <c r="P91" s="11"/>
      <c r="Q91" s="11"/>
      <c r="Y91" s="11"/>
    </row>
    <row r="92" spans="1:51" ht="18" customHeight="1">
      <c r="A92" s="39" t="s">
        <v>55</v>
      </c>
      <c r="B92" s="15"/>
      <c r="C92" s="15"/>
      <c r="D92" s="39"/>
      <c r="E92" s="39"/>
      <c r="F92" s="39" t="s">
        <v>324</v>
      </c>
      <c r="G92" s="15"/>
      <c r="H92" s="15"/>
      <c r="I92" s="52"/>
      <c r="J92" s="39" t="s">
        <v>55</v>
      </c>
      <c r="K92" s="39" t="s">
        <v>116</v>
      </c>
      <c r="L92" s="39"/>
      <c r="M92" s="15"/>
      <c r="N92" s="15"/>
      <c r="O92" s="14"/>
      <c r="P92" s="14"/>
      <c r="Q92" s="16"/>
      <c r="R92" s="39" t="s">
        <v>346</v>
      </c>
      <c r="S92" s="15"/>
      <c r="T92" s="15"/>
      <c r="U92" s="15"/>
      <c r="V92" s="14"/>
      <c r="W92" s="14"/>
      <c r="X92" s="14"/>
      <c r="Y92" s="16"/>
      <c r="Z92" s="127" t="s">
        <v>134</v>
      </c>
      <c r="AA92" s="128" t="s">
        <v>70</v>
      </c>
      <c r="AB92" s="103"/>
      <c r="AC92" s="103"/>
      <c r="AD92" s="103"/>
      <c r="AE92" s="129"/>
      <c r="AF92" s="129"/>
      <c r="AG92" s="92"/>
      <c r="AH92" s="92"/>
      <c r="AI92" s="92"/>
      <c r="AJ92" s="92"/>
      <c r="AK92" s="92"/>
      <c r="AL92" s="92"/>
      <c r="AM92" s="92"/>
      <c r="AN92" s="92"/>
      <c r="AO92" s="92"/>
      <c r="AP92" s="92"/>
      <c r="AQ92" s="92"/>
      <c r="AR92" s="92"/>
      <c r="AS92" s="92"/>
      <c r="AT92" s="95"/>
      <c r="AX92" s="93" t="s">
        <v>221</v>
      </c>
      <c r="AY92" s="93"/>
    </row>
    <row r="93" spans="1:51" ht="18" customHeight="1">
      <c r="A93" s="19" t="s">
        <v>292</v>
      </c>
      <c r="B93" s="19" t="s">
        <v>305</v>
      </c>
      <c r="C93" s="19" t="s">
        <v>320</v>
      </c>
      <c r="D93" s="35" t="s">
        <v>118</v>
      </c>
      <c r="E93" s="35" t="s">
        <v>326</v>
      </c>
      <c r="F93" s="35" t="s">
        <v>321</v>
      </c>
      <c r="G93" s="48" t="s">
        <v>323</v>
      </c>
      <c r="H93" s="43" t="s">
        <v>322</v>
      </c>
      <c r="I93" s="52"/>
      <c r="J93" s="19" t="s">
        <v>134</v>
      </c>
      <c r="K93" s="19" t="str">
        <f aca="true" t="shared" si="251" ref="K93:Q93">K50</f>
        <v>Générales</v>
      </c>
      <c r="L93" s="19" t="str">
        <f t="shared" si="251"/>
        <v>Escalier</v>
      </c>
      <c r="M93" s="19" t="str">
        <f t="shared" si="251"/>
        <v>Eau</v>
      </c>
      <c r="N93" s="19" t="str">
        <f t="shared" si="251"/>
        <v>Charge1</v>
      </c>
      <c r="O93" s="34" t="str">
        <f t="shared" si="251"/>
        <v>Charge2</v>
      </c>
      <c r="P93" s="34" t="str">
        <f t="shared" si="251"/>
        <v>Travaux</v>
      </c>
      <c r="Q93" s="19" t="str">
        <f t="shared" si="251"/>
        <v>Provision</v>
      </c>
      <c r="R93" s="19" t="s">
        <v>52</v>
      </c>
      <c r="S93" s="19" t="s">
        <v>408</v>
      </c>
      <c r="T93" s="19" t="s">
        <v>53</v>
      </c>
      <c r="U93" s="19" t="s">
        <v>300</v>
      </c>
      <c r="V93" s="13" t="s">
        <v>209</v>
      </c>
      <c r="W93" s="13" t="s">
        <v>469</v>
      </c>
      <c r="X93" s="13" t="s">
        <v>470</v>
      </c>
      <c r="Y93" s="34" t="s">
        <v>43</v>
      </c>
      <c r="Z93" s="130">
        <v>60</v>
      </c>
      <c r="AA93" s="130">
        <v>61</v>
      </c>
      <c r="AB93" s="130">
        <v>62</v>
      </c>
      <c r="AC93" s="130">
        <v>63</v>
      </c>
      <c r="AD93" s="130">
        <v>64</v>
      </c>
      <c r="AE93" s="131">
        <v>66</v>
      </c>
      <c r="AF93" s="132">
        <v>661</v>
      </c>
      <c r="AG93" s="138">
        <v>671</v>
      </c>
      <c r="AH93" s="132">
        <v>672</v>
      </c>
      <c r="AI93" s="132">
        <v>673</v>
      </c>
      <c r="AJ93" s="132">
        <v>677</v>
      </c>
      <c r="AK93" s="132">
        <v>68</v>
      </c>
      <c r="AL93" s="132">
        <v>701</v>
      </c>
      <c r="AM93" s="132">
        <v>702</v>
      </c>
      <c r="AN93" s="132">
        <v>703</v>
      </c>
      <c r="AO93" s="132">
        <v>704</v>
      </c>
      <c r="AP93" s="132">
        <v>711</v>
      </c>
      <c r="AQ93" s="132">
        <v>712</v>
      </c>
      <c r="AR93" s="132">
        <v>713</v>
      </c>
      <c r="AS93" s="132">
        <v>714</v>
      </c>
      <c r="AT93" s="130">
        <v>78</v>
      </c>
      <c r="AX93" s="93" t="s">
        <v>442</v>
      </c>
      <c r="AY93" s="93" t="s">
        <v>303</v>
      </c>
    </row>
    <row r="94" spans="1:51" ht="18" customHeight="1">
      <c r="A94" s="339"/>
      <c r="B94" s="202"/>
      <c r="C94" s="346"/>
      <c r="D94" s="203"/>
      <c r="E94" s="325"/>
      <c r="F94" s="204"/>
      <c r="G94" s="45"/>
      <c r="H94" s="45"/>
      <c r="I94" s="53"/>
      <c r="J94" s="200"/>
      <c r="K94" s="60">
        <f aca="true" t="shared" si="252" ref="K94:K102">IF(D94="Générales",C94,"")</f>
      </c>
      <c r="L94" s="60">
        <f aca="true" t="shared" si="253" ref="L94:L102">IF(D94="Escalier",C94,"")</f>
      </c>
      <c r="M94" s="60">
        <f aca="true" t="shared" si="254" ref="M94:M102">IF(D94="Eau",C94,"")</f>
      </c>
      <c r="N94" s="60">
        <f aca="true" t="shared" si="255" ref="N94:N102">IF(D94="Spéciales1",C94,"")</f>
      </c>
      <c r="O94" s="60">
        <f aca="true" t="shared" si="256" ref="O94:O102">IF(D94="Spéciales2",C94,"")</f>
      </c>
      <c r="P94" s="60">
        <f aca="true" t="shared" si="257" ref="P94:P102">IF(D94="Travaux",C94,"")</f>
      </c>
      <c r="Q94" s="60">
        <f aca="true" t="shared" si="258" ref="Q94:Q102">IF(D94="Provision",C94,"")</f>
      </c>
      <c r="R94" s="60">
        <f aca="true" t="shared" si="259" ref="R94:R102">IF(D94="Lot n°1",C94,"")</f>
      </c>
      <c r="S94" s="60">
        <f aca="true" t="shared" si="260" ref="S94:S102">IF(D94="Lot n°2",C94,"")</f>
      </c>
      <c r="T94" s="60">
        <f aca="true" t="shared" si="261" ref="T94:T102">IF(D94="Lot n°3",C94,"")</f>
      </c>
      <c r="U94" s="60">
        <f aca="true" t="shared" si="262" ref="U94:U102">IF(D94="Lot n°4",C94,"")</f>
      </c>
      <c r="V94" s="61">
        <f>IF(D94="Lot n°5",C94,"")</f>
      </c>
      <c r="W94" s="61">
        <f>IF(D94="Lot n°6",C94,"")</f>
      </c>
      <c r="X94" s="61">
        <f>IF(D94="Lot n°7",C94,"")</f>
      </c>
      <c r="Y94" s="60">
        <f aca="true" t="shared" si="263" ref="Y94:Y102">IF(D94="Lot n°M",C94,"")</f>
      </c>
      <c r="Z94" s="137">
        <f aca="true" t="shared" si="264" ref="Z94:Z102">IF(J94="60 Achat de matières et fournitures",C94,"")</f>
      </c>
      <c r="AA94" s="135">
        <f aca="true" t="shared" si="265" ref="AA94:AA102">IF(J94="61 Services extérieurs",C94,"")</f>
      </c>
      <c r="AB94" s="135">
        <f aca="true" t="shared" si="266" ref="AB94:AB102">IF(J94="62 Frais d'administration et honoraires",C94,"")</f>
      </c>
      <c r="AC94" s="135">
        <f aca="true" t="shared" si="267" ref="AC94:AC102">IF(J94="63 Impôts - taxes et versements assimilés",C94,"")</f>
      </c>
      <c r="AD94" s="135">
        <f aca="true" t="shared" si="268" ref="AD94:AD102">IF(J94="64 Frais de personnel",C94,"")</f>
      </c>
      <c r="AE94" s="136">
        <f aca="true" t="shared" si="269" ref="AE94:AE102">IF(J94="66 Charges financières des emprunts, agios",C94,"")</f>
      </c>
      <c r="AF94" s="135">
        <f aca="true" t="shared" si="270" ref="AF94:AF102">IF(J94="661 Rembourcement d'annuités d'emprunt",C94,"")</f>
      </c>
      <c r="AG94" s="123">
        <f aca="true" t="shared" si="271" ref="AG94:AG102">IF(J94="671 Travaux décidés par l'AG",C94,"")</f>
      </c>
      <c r="AH94" s="123">
        <f aca="true" t="shared" si="272" ref="AH94:AH102">IF(J94="672 Travaux urgents",C94,"")</f>
      </c>
      <c r="AI94" s="123">
        <f aca="true" t="shared" si="273" ref="AI94:AI102">IF(J94="673 Etudes techniques, diagnostic",C94,"")</f>
      </c>
      <c r="AJ94" s="123">
        <f aca="true" t="shared" si="274" ref="AJ94:AJ102">IF(J94="677 Pertes sur créances irrécouvrables",C94,"")</f>
      </c>
      <c r="AK94" s="123">
        <f aca="true" t="shared" si="275" ref="AK94:AK102">IF(J94="68 Dotations aux dépréciations sur créances douteuses",C94,"")</f>
      </c>
      <c r="AL94" s="123">
        <f aca="true" t="shared" si="276" ref="AL94:AL102">IF(J94="701 Provisions sur opérations courantes",C94,"")</f>
      </c>
      <c r="AM94" s="123">
        <f aca="true" t="shared" si="277" ref="AM94:AM102">IF(J94="702 Provisions pour travaux",C94,"")</f>
      </c>
      <c r="AN94" s="123">
        <f aca="true" t="shared" si="278" ref="AN94:AN102">IF(J94="703 Avances",C94,"")</f>
      </c>
      <c r="AO94" s="123">
        <f aca="true" t="shared" si="279" ref="AO94:AO102">IF(J94="704 Rembourcement d'emprunt",C94,"")</f>
      </c>
      <c r="AP94" s="123">
        <f aca="true" t="shared" si="280" ref="AP94:AP102">IF(J94="711 Subventions sur travaux",C94,"")</f>
      </c>
      <c r="AQ94" s="123">
        <f aca="true" t="shared" si="281" ref="AQ94:AQ102">IF(J94="712 Emprunts",C94,"")</f>
      </c>
      <c r="AR94" s="123">
        <f aca="true" t="shared" si="282" ref="AR94:AR102">IF(J94="713 Indemnités d'assurances",C94,"")</f>
      </c>
      <c r="AS94" s="123">
        <f aca="true" t="shared" si="283" ref="AS94:AS102">IF(J94="714 Produits divers",C94,"")</f>
      </c>
      <c r="AT94" s="93">
        <f aca="true" t="shared" si="284" ref="AT94:AT102">IF(J94="78 Reprises de dépréciations sur créance",C94,"")</f>
      </c>
      <c r="AX94" s="328">
        <f aca="true" t="shared" si="285" ref="AX94:AX102">IF(E94="Locataires",K94,"")</f>
      </c>
      <c r="AY94" s="328">
        <f aca="true" t="shared" si="286" ref="AY94:AY102">IF(E94="Locataires",L94,"")</f>
      </c>
    </row>
    <row r="95" spans="1:51" ht="18" customHeight="1">
      <c r="A95" s="339"/>
      <c r="B95" s="202"/>
      <c r="C95" s="346"/>
      <c r="D95" s="203"/>
      <c r="E95" s="325"/>
      <c r="F95" s="205"/>
      <c r="G95" s="46"/>
      <c r="H95" s="46"/>
      <c r="I95" s="53"/>
      <c r="J95" s="200"/>
      <c r="K95" s="60">
        <f t="shared" si="252"/>
      </c>
      <c r="L95" s="60">
        <f t="shared" si="253"/>
      </c>
      <c r="M95" s="60">
        <f t="shared" si="254"/>
      </c>
      <c r="N95" s="60">
        <f t="shared" si="255"/>
      </c>
      <c r="O95" s="60">
        <f t="shared" si="256"/>
      </c>
      <c r="P95" s="60">
        <f t="shared" si="257"/>
      </c>
      <c r="Q95" s="60">
        <f t="shared" si="258"/>
      </c>
      <c r="R95" s="60">
        <f t="shared" si="259"/>
      </c>
      <c r="S95" s="60">
        <f t="shared" si="260"/>
      </c>
      <c r="T95" s="60">
        <f t="shared" si="261"/>
      </c>
      <c r="U95" s="60">
        <f t="shared" si="262"/>
      </c>
      <c r="V95" s="61">
        <f aca="true" t="shared" si="287" ref="V95:V102">IF(D95="Lot n°5",C95,"")</f>
      </c>
      <c r="W95" s="61">
        <f aca="true" t="shared" si="288" ref="W95:W102">IF(D95="Lot n°6",C95,"")</f>
      </c>
      <c r="X95" s="61">
        <f aca="true" t="shared" si="289" ref="X95:X102">IF(D95="Lot n°7",C95,"")</f>
      </c>
      <c r="Y95" s="60">
        <f t="shared" si="263"/>
      </c>
      <c r="Z95" s="137">
        <f t="shared" si="264"/>
      </c>
      <c r="AA95" s="135">
        <f t="shared" si="265"/>
      </c>
      <c r="AB95" s="135">
        <f t="shared" si="266"/>
      </c>
      <c r="AC95" s="135">
        <f t="shared" si="267"/>
      </c>
      <c r="AD95" s="135">
        <f t="shared" si="268"/>
      </c>
      <c r="AE95" s="136">
        <f t="shared" si="269"/>
      </c>
      <c r="AF95" s="135">
        <f t="shared" si="270"/>
      </c>
      <c r="AG95" s="123">
        <f t="shared" si="271"/>
      </c>
      <c r="AH95" s="123">
        <f t="shared" si="272"/>
      </c>
      <c r="AI95" s="123">
        <f t="shared" si="273"/>
      </c>
      <c r="AJ95" s="123">
        <f t="shared" si="274"/>
      </c>
      <c r="AK95" s="123">
        <f t="shared" si="275"/>
      </c>
      <c r="AL95" s="123">
        <f t="shared" si="276"/>
      </c>
      <c r="AM95" s="123">
        <f t="shared" si="277"/>
      </c>
      <c r="AN95" s="123">
        <f t="shared" si="278"/>
      </c>
      <c r="AO95" s="123">
        <f t="shared" si="279"/>
      </c>
      <c r="AP95" s="123">
        <f t="shared" si="280"/>
      </c>
      <c r="AQ95" s="123">
        <f t="shared" si="281"/>
      </c>
      <c r="AR95" s="123">
        <f t="shared" si="282"/>
      </c>
      <c r="AS95" s="123">
        <f t="shared" si="283"/>
      </c>
      <c r="AT95" s="93">
        <f t="shared" si="284"/>
      </c>
      <c r="AX95" s="328">
        <f t="shared" si="285"/>
      </c>
      <c r="AY95" s="328">
        <f t="shared" si="286"/>
      </c>
    </row>
    <row r="96" spans="1:51" ht="18" customHeight="1">
      <c r="A96" s="339"/>
      <c r="B96" s="202"/>
      <c r="C96" s="346"/>
      <c r="D96" s="203"/>
      <c r="E96" s="325"/>
      <c r="F96" s="205"/>
      <c r="G96" s="46"/>
      <c r="H96" s="46"/>
      <c r="I96" s="53"/>
      <c r="J96" s="200"/>
      <c r="K96" s="60">
        <f t="shared" si="252"/>
      </c>
      <c r="L96" s="60">
        <f t="shared" si="253"/>
      </c>
      <c r="M96" s="60">
        <f t="shared" si="254"/>
      </c>
      <c r="N96" s="60">
        <f t="shared" si="255"/>
      </c>
      <c r="O96" s="60">
        <f t="shared" si="256"/>
      </c>
      <c r="P96" s="60">
        <f t="shared" si="257"/>
      </c>
      <c r="Q96" s="60">
        <f t="shared" si="258"/>
      </c>
      <c r="R96" s="60">
        <f t="shared" si="259"/>
      </c>
      <c r="S96" s="60">
        <f t="shared" si="260"/>
      </c>
      <c r="T96" s="60">
        <f t="shared" si="261"/>
      </c>
      <c r="U96" s="60">
        <f t="shared" si="262"/>
      </c>
      <c r="V96" s="61">
        <f t="shared" si="287"/>
      </c>
      <c r="W96" s="61">
        <f t="shared" si="288"/>
      </c>
      <c r="X96" s="61">
        <f t="shared" si="289"/>
      </c>
      <c r="Y96" s="60">
        <f t="shared" si="263"/>
      </c>
      <c r="Z96" s="137">
        <f t="shared" si="264"/>
      </c>
      <c r="AA96" s="135">
        <f t="shared" si="265"/>
      </c>
      <c r="AB96" s="135">
        <f t="shared" si="266"/>
      </c>
      <c r="AC96" s="135">
        <f t="shared" si="267"/>
      </c>
      <c r="AD96" s="135">
        <f t="shared" si="268"/>
      </c>
      <c r="AE96" s="136">
        <f t="shared" si="269"/>
      </c>
      <c r="AF96" s="135">
        <f t="shared" si="270"/>
      </c>
      <c r="AG96" s="123">
        <f t="shared" si="271"/>
      </c>
      <c r="AH96" s="123">
        <f t="shared" si="272"/>
      </c>
      <c r="AI96" s="123">
        <f t="shared" si="273"/>
      </c>
      <c r="AJ96" s="123">
        <f t="shared" si="274"/>
      </c>
      <c r="AK96" s="123">
        <f t="shared" si="275"/>
      </c>
      <c r="AL96" s="123">
        <f t="shared" si="276"/>
      </c>
      <c r="AM96" s="123">
        <f t="shared" si="277"/>
      </c>
      <c r="AN96" s="123">
        <f t="shared" si="278"/>
      </c>
      <c r="AO96" s="123">
        <f t="shared" si="279"/>
      </c>
      <c r="AP96" s="123">
        <f t="shared" si="280"/>
      </c>
      <c r="AQ96" s="123">
        <f t="shared" si="281"/>
      </c>
      <c r="AR96" s="123">
        <f t="shared" si="282"/>
      </c>
      <c r="AS96" s="123">
        <f t="shared" si="283"/>
      </c>
      <c r="AT96" s="93">
        <f t="shared" si="284"/>
      </c>
      <c r="AX96" s="328">
        <f t="shared" si="285"/>
      </c>
      <c r="AY96" s="328">
        <f t="shared" si="286"/>
      </c>
    </row>
    <row r="97" spans="1:51" ht="18" customHeight="1">
      <c r="A97" s="339"/>
      <c r="B97" s="202"/>
      <c r="C97" s="346"/>
      <c r="D97" s="203"/>
      <c r="E97" s="325"/>
      <c r="F97" s="205"/>
      <c r="G97" s="46"/>
      <c r="H97" s="46"/>
      <c r="I97" s="53"/>
      <c r="J97" s="200"/>
      <c r="K97" s="60">
        <f t="shared" si="252"/>
      </c>
      <c r="L97" s="60">
        <f t="shared" si="253"/>
      </c>
      <c r="M97" s="60">
        <f t="shared" si="254"/>
      </c>
      <c r="N97" s="60">
        <f t="shared" si="255"/>
      </c>
      <c r="O97" s="60">
        <f t="shared" si="256"/>
      </c>
      <c r="P97" s="60">
        <f t="shared" si="257"/>
      </c>
      <c r="Q97" s="60">
        <f t="shared" si="258"/>
      </c>
      <c r="R97" s="60">
        <f t="shared" si="259"/>
      </c>
      <c r="S97" s="60">
        <f t="shared" si="260"/>
      </c>
      <c r="T97" s="60">
        <f t="shared" si="261"/>
      </c>
      <c r="U97" s="60">
        <f t="shared" si="262"/>
      </c>
      <c r="V97" s="61">
        <f t="shared" si="287"/>
      </c>
      <c r="W97" s="61">
        <f t="shared" si="288"/>
      </c>
      <c r="X97" s="61">
        <f t="shared" si="289"/>
      </c>
      <c r="Y97" s="60">
        <f t="shared" si="263"/>
      </c>
      <c r="Z97" s="137">
        <f t="shared" si="264"/>
      </c>
      <c r="AA97" s="135">
        <f t="shared" si="265"/>
      </c>
      <c r="AB97" s="135">
        <f t="shared" si="266"/>
      </c>
      <c r="AC97" s="135">
        <f t="shared" si="267"/>
      </c>
      <c r="AD97" s="135">
        <f t="shared" si="268"/>
      </c>
      <c r="AE97" s="136">
        <f t="shared" si="269"/>
      </c>
      <c r="AF97" s="135">
        <f t="shared" si="270"/>
      </c>
      <c r="AG97" s="123">
        <f t="shared" si="271"/>
      </c>
      <c r="AH97" s="123">
        <f t="shared" si="272"/>
      </c>
      <c r="AI97" s="123">
        <f t="shared" si="273"/>
      </c>
      <c r="AJ97" s="123">
        <f t="shared" si="274"/>
      </c>
      <c r="AK97" s="123">
        <f t="shared" si="275"/>
      </c>
      <c r="AL97" s="123">
        <f t="shared" si="276"/>
      </c>
      <c r="AM97" s="123">
        <f t="shared" si="277"/>
      </c>
      <c r="AN97" s="123">
        <f t="shared" si="278"/>
      </c>
      <c r="AO97" s="123">
        <f t="shared" si="279"/>
      </c>
      <c r="AP97" s="123">
        <f t="shared" si="280"/>
      </c>
      <c r="AQ97" s="123">
        <f t="shared" si="281"/>
      </c>
      <c r="AR97" s="123">
        <f t="shared" si="282"/>
      </c>
      <c r="AS97" s="123">
        <f t="shared" si="283"/>
      </c>
      <c r="AT97" s="93">
        <f t="shared" si="284"/>
      </c>
      <c r="AX97" s="328">
        <f t="shared" si="285"/>
      </c>
      <c r="AY97" s="328">
        <f t="shared" si="286"/>
      </c>
    </row>
    <row r="98" spans="1:51" ht="18" customHeight="1">
      <c r="A98" s="339"/>
      <c r="B98" s="202"/>
      <c r="C98" s="346"/>
      <c r="D98" s="203"/>
      <c r="E98" s="325"/>
      <c r="F98" s="205"/>
      <c r="G98" s="46"/>
      <c r="H98" s="46"/>
      <c r="I98" s="53"/>
      <c r="J98" s="200"/>
      <c r="K98" s="60">
        <f t="shared" si="252"/>
      </c>
      <c r="L98" s="60">
        <f t="shared" si="253"/>
      </c>
      <c r="M98" s="60">
        <f t="shared" si="254"/>
      </c>
      <c r="N98" s="60">
        <f t="shared" si="255"/>
      </c>
      <c r="O98" s="60">
        <f t="shared" si="256"/>
      </c>
      <c r="P98" s="60">
        <f t="shared" si="257"/>
      </c>
      <c r="Q98" s="60">
        <f t="shared" si="258"/>
      </c>
      <c r="R98" s="60">
        <f t="shared" si="259"/>
      </c>
      <c r="S98" s="60">
        <f t="shared" si="260"/>
      </c>
      <c r="T98" s="60">
        <f t="shared" si="261"/>
      </c>
      <c r="U98" s="60">
        <f t="shared" si="262"/>
      </c>
      <c r="V98" s="61">
        <f t="shared" si="287"/>
      </c>
      <c r="W98" s="61">
        <f t="shared" si="288"/>
      </c>
      <c r="X98" s="61">
        <f t="shared" si="289"/>
      </c>
      <c r="Y98" s="60">
        <f t="shared" si="263"/>
      </c>
      <c r="Z98" s="137">
        <f t="shared" si="264"/>
      </c>
      <c r="AA98" s="135">
        <f t="shared" si="265"/>
      </c>
      <c r="AB98" s="135">
        <f t="shared" si="266"/>
      </c>
      <c r="AC98" s="135">
        <f t="shared" si="267"/>
      </c>
      <c r="AD98" s="135">
        <f t="shared" si="268"/>
      </c>
      <c r="AE98" s="136">
        <f t="shared" si="269"/>
      </c>
      <c r="AF98" s="135">
        <f t="shared" si="270"/>
      </c>
      <c r="AG98" s="123">
        <f t="shared" si="271"/>
      </c>
      <c r="AH98" s="123">
        <f t="shared" si="272"/>
      </c>
      <c r="AI98" s="123">
        <f t="shared" si="273"/>
      </c>
      <c r="AJ98" s="123">
        <f t="shared" si="274"/>
      </c>
      <c r="AK98" s="123">
        <f t="shared" si="275"/>
      </c>
      <c r="AL98" s="123">
        <f t="shared" si="276"/>
      </c>
      <c r="AM98" s="123">
        <f t="shared" si="277"/>
      </c>
      <c r="AN98" s="123">
        <f t="shared" si="278"/>
      </c>
      <c r="AO98" s="123">
        <f t="shared" si="279"/>
      </c>
      <c r="AP98" s="123">
        <f t="shared" si="280"/>
      </c>
      <c r="AQ98" s="123">
        <f t="shared" si="281"/>
      </c>
      <c r="AR98" s="123">
        <f t="shared" si="282"/>
      </c>
      <c r="AS98" s="123">
        <f t="shared" si="283"/>
      </c>
      <c r="AT98" s="93">
        <f t="shared" si="284"/>
      </c>
      <c r="AX98" s="328">
        <f t="shared" si="285"/>
      </c>
      <c r="AY98" s="328">
        <f t="shared" si="286"/>
      </c>
    </row>
    <row r="99" spans="1:51" ht="18" customHeight="1">
      <c r="A99" s="339"/>
      <c r="B99" s="202"/>
      <c r="C99" s="203"/>
      <c r="D99" s="203"/>
      <c r="E99" s="325"/>
      <c r="F99" s="206"/>
      <c r="G99" s="46"/>
      <c r="H99" s="46"/>
      <c r="I99" s="53"/>
      <c r="J99" s="200"/>
      <c r="K99" s="60">
        <f t="shared" si="252"/>
      </c>
      <c r="L99" s="60">
        <f t="shared" si="253"/>
      </c>
      <c r="M99" s="60">
        <f t="shared" si="254"/>
      </c>
      <c r="N99" s="60">
        <f t="shared" si="255"/>
      </c>
      <c r="O99" s="60">
        <f t="shared" si="256"/>
      </c>
      <c r="P99" s="60">
        <f t="shared" si="257"/>
      </c>
      <c r="Q99" s="60">
        <f t="shared" si="258"/>
      </c>
      <c r="R99" s="60">
        <f t="shared" si="259"/>
      </c>
      <c r="S99" s="60">
        <f t="shared" si="260"/>
      </c>
      <c r="T99" s="60">
        <f t="shared" si="261"/>
      </c>
      <c r="U99" s="60">
        <f t="shared" si="262"/>
      </c>
      <c r="V99" s="61">
        <f t="shared" si="287"/>
      </c>
      <c r="W99" s="61">
        <f t="shared" si="288"/>
      </c>
      <c r="X99" s="61">
        <f t="shared" si="289"/>
      </c>
      <c r="Y99" s="60">
        <f t="shared" si="263"/>
      </c>
      <c r="Z99" s="137">
        <f t="shared" si="264"/>
      </c>
      <c r="AA99" s="135">
        <f t="shared" si="265"/>
      </c>
      <c r="AB99" s="135">
        <f t="shared" si="266"/>
      </c>
      <c r="AC99" s="135">
        <f t="shared" si="267"/>
      </c>
      <c r="AD99" s="135">
        <f t="shared" si="268"/>
      </c>
      <c r="AE99" s="136">
        <f t="shared" si="269"/>
      </c>
      <c r="AF99" s="135">
        <f t="shared" si="270"/>
      </c>
      <c r="AG99" s="123">
        <f t="shared" si="271"/>
      </c>
      <c r="AH99" s="123">
        <f t="shared" si="272"/>
      </c>
      <c r="AI99" s="123">
        <f t="shared" si="273"/>
      </c>
      <c r="AJ99" s="123">
        <f t="shared" si="274"/>
      </c>
      <c r="AK99" s="123">
        <f t="shared" si="275"/>
      </c>
      <c r="AL99" s="123">
        <f t="shared" si="276"/>
      </c>
      <c r="AM99" s="123">
        <f t="shared" si="277"/>
      </c>
      <c r="AN99" s="123">
        <f t="shared" si="278"/>
      </c>
      <c r="AO99" s="123">
        <f t="shared" si="279"/>
      </c>
      <c r="AP99" s="123">
        <f t="shared" si="280"/>
      </c>
      <c r="AQ99" s="123">
        <f t="shared" si="281"/>
      </c>
      <c r="AR99" s="123">
        <f t="shared" si="282"/>
      </c>
      <c r="AS99" s="123">
        <f t="shared" si="283"/>
      </c>
      <c r="AT99" s="93">
        <f t="shared" si="284"/>
      </c>
      <c r="AX99" s="328">
        <f t="shared" si="285"/>
      </c>
      <c r="AY99" s="328">
        <f t="shared" si="286"/>
      </c>
    </row>
    <row r="100" spans="1:51" ht="18" customHeight="1">
      <c r="A100" s="339"/>
      <c r="B100" s="202"/>
      <c r="C100" s="203"/>
      <c r="D100" s="203"/>
      <c r="E100" s="325"/>
      <c r="F100" s="206"/>
      <c r="G100" s="46"/>
      <c r="H100" s="46"/>
      <c r="I100" s="53"/>
      <c r="J100" s="200"/>
      <c r="K100" s="60">
        <f t="shared" si="252"/>
      </c>
      <c r="L100" s="60">
        <f t="shared" si="253"/>
      </c>
      <c r="M100" s="60">
        <f t="shared" si="254"/>
      </c>
      <c r="N100" s="60">
        <f t="shared" si="255"/>
      </c>
      <c r="O100" s="60">
        <f t="shared" si="256"/>
      </c>
      <c r="P100" s="60">
        <f t="shared" si="257"/>
      </c>
      <c r="Q100" s="60">
        <f t="shared" si="258"/>
      </c>
      <c r="R100" s="60">
        <f t="shared" si="259"/>
      </c>
      <c r="S100" s="60">
        <f t="shared" si="260"/>
      </c>
      <c r="T100" s="60">
        <f t="shared" si="261"/>
      </c>
      <c r="U100" s="60">
        <f t="shared" si="262"/>
      </c>
      <c r="V100" s="61">
        <f t="shared" si="287"/>
      </c>
      <c r="W100" s="61">
        <f t="shared" si="288"/>
      </c>
      <c r="X100" s="61">
        <f t="shared" si="289"/>
      </c>
      <c r="Y100" s="60">
        <f t="shared" si="263"/>
      </c>
      <c r="Z100" s="137">
        <f t="shared" si="264"/>
      </c>
      <c r="AA100" s="135">
        <f t="shared" si="265"/>
      </c>
      <c r="AB100" s="135">
        <f t="shared" si="266"/>
      </c>
      <c r="AC100" s="135">
        <f t="shared" si="267"/>
      </c>
      <c r="AD100" s="135">
        <f t="shared" si="268"/>
      </c>
      <c r="AE100" s="136">
        <f t="shared" si="269"/>
      </c>
      <c r="AF100" s="135">
        <f t="shared" si="270"/>
      </c>
      <c r="AG100" s="123">
        <f t="shared" si="271"/>
      </c>
      <c r="AH100" s="123">
        <f t="shared" si="272"/>
      </c>
      <c r="AI100" s="123">
        <f t="shared" si="273"/>
      </c>
      <c r="AJ100" s="123">
        <f t="shared" si="274"/>
      </c>
      <c r="AK100" s="123">
        <f t="shared" si="275"/>
      </c>
      <c r="AL100" s="123">
        <f t="shared" si="276"/>
      </c>
      <c r="AM100" s="123">
        <f t="shared" si="277"/>
      </c>
      <c r="AN100" s="123">
        <f t="shared" si="278"/>
      </c>
      <c r="AO100" s="123">
        <f t="shared" si="279"/>
      </c>
      <c r="AP100" s="123">
        <f t="shared" si="280"/>
      </c>
      <c r="AQ100" s="123">
        <f t="shared" si="281"/>
      </c>
      <c r="AR100" s="123">
        <f t="shared" si="282"/>
      </c>
      <c r="AS100" s="123">
        <f t="shared" si="283"/>
      </c>
      <c r="AT100" s="93">
        <f t="shared" si="284"/>
      </c>
      <c r="AX100" s="328">
        <f t="shared" si="285"/>
      </c>
      <c r="AY100" s="328">
        <f t="shared" si="286"/>
      </c>
    </row>
    <row r="101" spans="1:51" ht="18" customHeight="1">
      <c r="A101" s="339"/>
      <c r="B101" s="202"/>
      <c r="C101" s="203"/>
      <c r="D101" s="203"/>
      <c r="E101" s="325"/>
      <c r="F101" s="206"/>
      <c r="G101" s="46"/>
      <c r="H101" s="46"/>
      <c r="I101" s="53"/>
      <c r="J101" s="200"/>
      <c r="K101" s="60">
        <f t="shared" si="252"/>
      </c>
      <c r="L101" s="60">
        <f t="shared" si="253"/>
      </c>
      <c r="M101" s="60">
        <f t="shared" si="254"/>
      </c>
      <c r="N101" s="60">
        <f t="shared" si="255"/>
      </c>
      <c r="O101" s="60">
        <f t="shared" si="256"/>
      </c>
      <c r="P101" s="60">
        <f t="shared" si="257"/>
      </c>
      <c r="Q101" s="60">
        <f t="shared" si="258"/>
      </c>
      <c r="R101" s="60">
        <f t="shared" si="259"/>
      </c>
      <c r="S101" s="60">
        <f t="shared" si="260"/>
      </c>
      <c r="T101" s="60">
        <f t="shared" si="261"/>
      </c>
      <c r="U101" s="60">
        <f t="shared" si="262"/>
      </c>
      <c r="V101" s="61">
        <f t="shared" si="287"/>
      </c>
      <c r="W101" s="61">
        <f t="shared" si="288"/>
      </c>
      <c r="X101" s="61">
        <f t="shared" si="289"/>
      </c>
      <c r="Y101" s="60">
        <f t="shared" si="263"/>
      </c>
      <c r="Z101" s="137">
        <f t="shared" si="264"/>
      </c>
      <c r="AA101" s="135">
        <f t="shared" si="265"/>
      </c>
      <c r="AB101" s="135">
        <f t="shared" si="266"/>
      </c>
      <c r="AC101" s="135">
        <f t="shared" si="267"/>
      </c>
      <c r="AD101" s="135">
        <f t="shared" si="268"/>
      </c>
      <c r="AE101" s="136">
        <f t="shared" si="269"/>
      </c>
      <c r="AF101" s="135">
        <f t="shared" si="270"/>
      </c>
      <c r="AG101" s="123">
        <f t="shared" si="271"/>
      </c>
      <c r="AH101" s="123">
        <f t="shared" si="272"/>
      </c>
      <c r="AI101" s="123">
        <f t="shared" si="273"/>
      </c>
      <c r="AJ101" s="123">
        <f t="shared" si="274"/>
      </c>
      <c r="AK101" s="123">
        <f t="shared" si="275"/>
      </c>
      <c r="AL101" s="123">
        <f t="shared" si="276"/>
      </c>
      <c r="AM101" s="123">
        <f t="shared" si="277"/>
      </c>
      <c r="AN101" s="123">
        <f t="shared" si="278"/>
      </c>
      <c r="AO101" s="123">
        <f t="shared" si="279"/>
      </c>
      <c r="AP101" s="123">
        <f t="shared" si="280"/>
      </c>
      <c r="AQ101" s="123">
        <f t="shared" si="281"/>
      </c>
      <c r="AR101" s="123">
        <f t="shared" si="282"/>
      </c>
      <c r="AS101" s="123">
        <f t="shared" si="283"/>
      </c>
      <c r="AT101" s="93">
        <f t="shared" si="284"/>
      </c>
      <c r="AX101" s="328">
        <f t="shared" si="285"/>
      </c>
      <c r="AY101" s="328">
        <f t="shared" si="286"/>
      </c>
    </row>
    <row r="102" spans="1:51" ht="18" customHeight="1">
      <c r="A102" s="339"/>
      <c r="B102" s="202"/>
      <c r="C102" s="203"/>
      <c r="D102" s="203"/>
      <c r="E102" s="325"/>
      <c r="F102" s="207"/>
      <c r="G102" s="47"/>
      <c r="H102" s="46"/>
      <c r="I102" s="53"/>
      <c r="J102" s="200"/>
      <c r="K102" s="60">
        <f t="shared" si="252"/>
      </c>
      <c r="L102" s="60">
        <f t="shared" si="253"/>
      </c>
      <c r="M102" s="60">
        <f t="shared" si="254"/>
      </c>
      <c r="N102" s="60">
        <f t="shared" si="255"/>
      </c>
      <c r="O102" s="60">
        <f t="shared" si="256"/>
      </c>
      <c r="P102" s="60">
        <f t="shared" si="257"/>
      </c>
      <c r="Q102" s="60">
        <f t="shared" si="258"/>
      </c>
      <c r="R102" s="60">
        <f t="shared" si="259"/>
      </c>
      <c r="S102" s="60">
        <f t="shared" si="260"/>
      </c>
      <c r="T102" s="60">
        <f t="shared" si="261"/>
      </c>
      <c r="U102" s="60">
        <f t="shared" si="262"/>
      </c>
      <c r="V102" s="61">
        <f t="shared" si="287"/>
      </c>
      <c r="W102" s="61">
        <f t="shared" si="288"/>
      </c>
      <c r="X102" s="61">
        <f t="shared" si="289"/>
      </c>
      <c r="Y102" s="60">
        <f t="shared" si="263"/>
      </c>
      <c r="Z102" s="137">
        <f t="shared" si="264"/>
      </c>
      <c r="AA102" s="135">
        <f t="shared" si="265"/>
      </c>
      <c r="AB102" s="135">
        <f t="shared" si="266"/>
      </c>
      <c r="AC102" s="135">
        <f t="shared" si="267"/>
      </c>
      <c r="AD102" s="135">
        <f t="shared" si="268"/>
      </c>
      <c r="AE102" s="136">
        <f t="shared" si="269"/>
      </c>
      <c r="AF102" s="135">
        <f t="shared" si="270"/>
      </c>
      <c r="AG102" s="123">
        <f t="shared" si="271"/>
      </c>
      <c r="AH102" s="123">
        <f t="shared" si="272"/>
      </c>
      <c r="AI102" s="123">
        <f t="shared" si="273"/>
      </c>
      <c r="AJ102" s="123">
        <f t="shared" si="274"/>
      </c>
      <c r="AK102" s="123">
        <f t="shared" si="275"/>
      </c>
      <c r="AL102" s="123">
        <f t="shared" si="276"/>
      </c>
      <c r="AM102" s="123">
        <f t="shared" si="277"/>
      </c>
      <c r="AN102" s="123">
        <f t="shared" si="278"/>
      </c>
      <c r="AO102" s="123">
        <f t="shared" si="279"/>
      </c>
      <c r="AP102" s="123">
        <f t="shared" si="280"/>
      </c>
      <c r="AQ102" s="123">
        <f t="shared" si="281"/>
      </c>
      <c r="AR102" s="123">
        <f t="shared" si="282"/>
      </c>
      <c r="AS102" s="123">
        <f t="shared" si="283"/>
      </c>
      <c r="AT102" s="93">
        <f t="shared" si="284"/>
      </c>
      <c r="AX102" s="328">
        <f t="shared" si="285"/>
      </c>
      <c r="AY102" s="328">
        <f t="shared" si="286"/>
      </c>
    </row>
    <row r="103" spans="1:51" ht="18" customHeight="1">
      <c r="A103" s="40" t="s">
        <v>117</v>
      </c>
      <c r="B103" s="29"/>
      <c r="C103" s="41">
        <f>SUM(C94,C95,C96,C97,C98,C99,C100,C101,C102)</f>
        <v>0</v>
      </c>
      <c r="D103" s="36">
        <f>D86+C103</f>
        <v>0</v>
      </c>
      <c r="E103" s="327"/>
      <c r="F103" s="203"/>
      <c r="G103" s="49">
        <f>'Comptes Lots'!B11+'Comptes Lots'!B34+'Comptes Lots'!B57+'Comptes Lots'!B80+'Comptes Lots'!B103+'Comptes Lots'!B126+'Comptes Lots'!B149+'Comptes Lots'!B172</f>
        <v>0</v>
      </c>
      <c r="H103" s="41">
        <f>H91+'Comptes Lots'!I11+'Comptes Lots'!I34+'Comptes Lots'!I57+'Comptes Lots'!I80+'Comptes Lots'!I103+'Comptes Lots'!I126+'Comptes Lots'!I149+'Comptes Lots'!I172</f>
        <v>0</v>
      </c>
      <c r="I103" s="64"/>
      <c r="J103" s="40" t="s">
        <v>117</v>
      </c>
      <c r="K103" s="41">
        <f aca="true" t="shared" si="290" ref="K103:Q103">SUM(K94,K95,K96,K97,K98,K99,K100,K101,K102)</f>
        <v>0</v>
      </c>
      <c r="L103" s="41">
        <f t="shared" si="290"/>
        <v>0</v>
      </c>
      <c r="M103" s="41">
        <f t="shared" si="290"/>
        <v>0</v>
      </c>
      <c r="N103" s="41">
        <f t="shared" si="290"/>
        <v>0</v>
      </c>
      <c r="O103" s="41">
        <f t="shared" si="290"/>
        <v>0</v>
      </c>
      <c r="P103" s="41">
        <f t="shared" si="290"/>
        <v>0</v>
      </c>
      <c r="Q103" s="41">
        <f t="shared" si="290"/>
        <v>0</v>
      </c>
      <c r="R103" s="41">
        <f aca="true" t="shared" si="291" ref="R103:Y103">SUM(R94,R95,R96,R97,R98,R99,R100,R101,R102)</f>
        <v>0</v>
      </c>
      <c r="S103" s="41">
        <f t="shared" si="291"/>
        <v>0</v>
      </c>
      <c r="T103" s="41">
        <f t="shared" si="291"/>
        <v>0</v>
      </c>
      <c r="U103" s="41">
        <f t="shared" si="291"/>
        <v>0</v>
      </c>
      <c r="V103" s="42">
        <f t="shared" si="291"/>
        <v>0</v>
      </c>
      <c r="W103" s="42">
        <f t="shared" si="291"/>
        <v>0</v>
      </c>
      <c r="X103" s="42">
        <f t="shared" si="291"/>
        <v>0</v>
      </c>
      <c r="Y103" s="41">
        <f t="shared" si="291"/>
        <v>0</v>
      </c>
      <c r="Z103" s="133">
        <f aca="true" t="shared" si="292" ref="Z103:AT103">SUM(Z94,Z95,Z96,Z97,Z98,Z99,Z100,Z101,Z102)</f>
        <v>0</v>
      </c>
      <c r="AA103" s="133">
        <f t="shared" si="292"/>
        <v>0</v>
      </c>
      <c r="AB103" s="133">
        <f t="shared" si="292"/>
        <v>0</v>
      </c>
      <c r="AC103" s="133">
        <f t="shared" si="292"/>
        <v>0</v>
      </c>
      <c r="AD103" s="133">
        <f t="shared" si="292"/>
        <v>0</v>
      </c>
      <c r="AE103" s="134">
        <f t="shared" si="292"/>
        <v>0</v>
      </c>
      <c r="AF103" s="133">
        <f t="shared" si="292"/>
        <v>0</v>
      </c>
      <c r="AG103" s="133">
        <f t="shared" si="292"/>
        <v>0</v>
      </c>
      <c r="AH103" s="133">
        <f t="shared" si="292"/>
        <v>0</v>
      </c>
      <c r="AI103" s="133">
        <f t="shared" si="292"/>
        <v>0</v>
      </c>
      <c r="AJ103" s="133">
        <f t="shared" si="292"/>
        <v>0</v>
      </c>
      <c r="AK103" s="133">
        <f t="shared" si="292"/>
        <v>0</v>
      </c>
      <c r="AL103" s="133">
        <f t="shared" si="292"/>
        <v>0</v>
      </c>
      <c r="AM103" s="134">
        <f t="shared" si="292"/>
        <v>0</v>
      </c>
      <c r="AN103" s="133">
        <f t="shared" si="292"/>
        <v>0</v>
      </c>
      <c r="AO103" s="133">
        <f t="shared" si="292"/>
        <v>0</v>
      </c>
      <c r="AP103" s="133">
        <f t="shared" si="292"/>
        <v>0</v>
      </c>
      <c r="AQ103" s="133">
        <f t="shared" si="292"/>
        <v>0</v>
      </c>
      <c r="AR103" s="133">
        <f t="shared" si="292"/>
        <v>0</v>
      </c>
      <c r="AS103" s="133">
        <f t="shared" si="292"/>
        <v>0</v>
      </c>
      <c r="AT103" s="133">
        <f t="shared" si="292"/>
        <v>0</v>
      </c>
      <c r="AX103" s="329">
        <f>SUM(AX94,AX95,AX96,AX97,AX98,AX99,AX100,AX101,AX102)</f>
        <v>0</v>
      </c>
      <c r="AY103" s="329">
        <f>SUM(AY94,AY95,AY96,AY97,AY98,AY99,AY100,AY101,AY102)</f>
        <v>0</v>
      </c>
    </row>
    <row r="104" spans="1:25" ht="9.75" customHeight="1">
      <c r="A104" s="11"/>
      <c r="B104" s="11"/>
      <c r="C104" s="11"/>
      <c r="D104" s="11"/>
      <c r="E104" s="11"/>
      <c r="F104" s="11"/>
      <c r="G104" s="11"/>
      <c r="H104" s="55"/>
      <c r="I104" s="50"/>
      <c r="J104" s="56"/>
      <c r="K104" s="11"/>
      <c r="L104" s="11"/>
      <c r="M104" s="11"/>
      <c r="N104" s="11"/>
      <c r="O104" s="11"/>
      <c r="P104" s="11"/>
      <c r="Q104" s="11"/>
      <c r="R104" s="11"/>
      <c r="S104" s="11"/>
      <c r="T104" s="11"/>
      <c r="U104" s="11"/>
      <c r="V104" s="11"/>
      <c r="W104" s="11"/>
      <c r="X104" s="11"/>
      <c r="Y104" s="55"/>
    </row>
    <row r="105" spans="1:51" ht="18" customHeight="1">
      <c r="A105" s="39" t="s">
        <v>56</v>
      </c>
      <c r="B105" s="15"/>
      <c r="C105" s="15"/>
      <c r="D105" s="39"/>
      <c r="E105" s="39"/>
      <c r="F105" s="39" t="s">
        <v>324</v>
      </c>
      <c r="G105" s="15"/>
      <c r="H105" s="15"/>
      <c r="I105" s="52"/>
      <c r="J105" s="39" t="s">
        <v>56</v>
      </c>
      <c r="K105" s="39" t="s">
        <v>116</v>
      </c>
      <c r="L105" s="39"/>
      <c r="M105" s="15"/>
      <c r="N105" s="15"/>
      <c r="O105" s="14"/>
      <c r="P105" s="14"/>
      <c r="Q105" s="16"/>
      <c r="R105" s="39" t="s">
        <v>346</v>
      </c>
      <c r="S105" s="15"/>
      <c r="T105" s="15"/>
      <c r="U105" s="15"/>
      <c r="V105" s="14"/>
      <c r="W105" s="14"/>
      <c r="X105" s="14"/>
      <c r="Y105" s="16"/>
      <c r="Z105" s="127" t="s">
        <v>134</v>
      </c>
      <c r="AA105" s="128" t="s">
        <v>70</v>
      </c>
      <c r="AB105" s="103"/>
      <c r="AC105" s="103"/>
      <c r="AD105" s="103"/>
      <c r="AE105" s="129"/>
      <c r="AF105" s="129"/>
      <c r="AG105" s="92"/>
      <c r="AH105" s="92"/>
      <c r="AI105" s="92"/>
      <c r="AJ105" s="92"/>
      <c r="AK105" s="92"/>
      <c r="AL105" s="92"/>
      <c r="AM105" s="92"/>
      <c r="AN105" s="92"/>
      <c r="AO105" s="92"/>
      <c r="AP105" s="92"/>
      <c r="AQ105" s="92"/>
      <c r="AR105" s="92"/>
      <c r="AS105" s="92"/>
      <c r="AT105" s="95"/>
      <c r="AX105" s="93" t="s">
        <v>221</v>
      </c>
      <c r="AY105" s="93"/>
    </row>
    <row r="106" spans="1:51" ht="18" customHeight="1">
      <c r="A106" s="19" t="s">
        <v>292</v>
      </c>
      <c r="B106" s="19" t="s">
        <v>305</v>
      </c>
      <c r="C106" s="19" t="s">
        <v>320</v>
      </c>
      <c r="D106" s="35" t="s">
        <v>118</v>
      </c>
      <c r="E106" s="35" t="s">
        <v>326</v>
      </c>
      <c r="F106" s="35" t="s">
        <v>321</v>
      </c>
      <c r="G106" s="48" t="s">
        <v>323</v>
      </c>
      <c r="H106" s="43" t="s">
        <v>322</v>
      </c>
      <c r="I106" s="52"/>
      <c r="J106" s="19" t="s">
        <v>134</v>
      </c>
      <c r="K106" s="19" t="str">
        <f aca="true" t="shared" si="293" ref="K106:Q106">K93</f>
        <v>Générales</v>
      </c>
      <c r="L106" s="19" t="str">
        <f t="shared" si="293"/>
        <v>Escalier</v>
      </c>
      <c r="M106" s="19" t="str">
        <f t="shared" si="293"/>
        <v>Eau</v>
      </c>
      <c r="N106" s="19" t="str">
        <f t="shared" si="293"/>
        <v>Charge1</v>
      </c>
      <c r="O106" s="19" t="str">
        <f t="shared" si="293"/>
        <v>Charge2</v>
      </c>
      <c r="P106" s="19" t="str">
        <f t="shared" si="293"/>
        <v>Travaux</v>
      </c>
      <c r="Q106" s="19" t="str">
        <f t="shared" si="293"/>
        <v>Provision</v>
      </c>
      <c r="R106" s="19" t="s">
        <v>52</v>
      </c>
      <c r="S106" s="19" t="s">
        <v>408</v>
      </c>
      <c r="T106" s="19" t="s">
        <v>53</v>
      </c>
      <c r="U106" s="19" t="s">
        <v>300</v>
      </c>
      <c r="V106" s="13" t="s">
        <v>209</v>
      </c>
      <c r="W106" s="13" t="s">
        <v>469</v>
      </c>
      <c r="X106" s="13" t="s">
        <v>470</v>
      </c>
      <c r="Y106" s="34" t="s">
        <v>43</v>
      </c>
      <c r="Z106" s="130">
        <v>60</v>
      </c>
      <c r="AA106" s="130">
        <v>61</v>
      </c>
      <c r="AB106" s="130">
        <v>62</v>
      </c>
      <c r="AC106" s="130">
        <v>63</v>
      </c>
      <c r="AD106" s="130">
        <v>64</v>
      </c>
      <c r="AE106" s="131">
        <v>66</v>
      </c>
      <c r="AF106" s="132">
        <v>661</v>
      </c>
      <c r="AG106" s="138">
        <v>671</v>
      </c>
      <c r="AH106" s="132">
        <v>672</v>
      </c>
      <c r="AI106" s="132">
        <v>673</v>
      </c>
      <c r="AJ106" s="132">
        <v>677</v>
      </c>
      <c r="AK106" s="132">
        <v>68</v>
      </c>
      <c r="AL106" s="132">
        <v>701</v>
      </c>
      <c r="AM106" s="132">
        <v>702</v>
      </c>
      <c r="AN106" s="132">
        <v>703</v>
      </c>
      <c r="AO106" s="132">
        <v>704</v>
      </c>
      <c r="AP106" s="132">
        <v>711</v>
      </c>
      <c r="AQ106" s="132">
        <v>712</v>
      </c>
      <c r="AR106" s="132">
        <v>713</v>
      </c>
      <c r="AS106" s="132">
        <v>714</v>
      </c>
      <c r="AT106" s="93"/>
      <c r="AX106" s="93" t="s">
        <v>442</v>
      </c>
      <c r="AY106" s="93" t="s">
        <v>303</v>
      </c>
    </row>
    <row r="107" spans="1:51" ht="18" customHeight="1">
      <c r="A107" s="339"/>
      <c r="B107" s="202"/>
      <c r="C107" s="346"/>
      <c r="D107" s="203"/>
      <c r="E107" s="325"/>
      <c r="F107" s="204"/>
      <c r="G107" s="45"/>
      <c r="H107" s="45"/>
      <c r="I107" s="53"/>
      <c r="J107" s="200"/>
      <c r="K107" s="60">
        <f aca="true" t="shared" si="294" ref="K107:K115">IF(D107="Générales",C107,"")</f>
      </c>
      <c r="L107" s="60">
        <f aca="true" t="shared" si="295" ref="L107:L115">IF(D107="Escalier",C107,"")</f>
      </c>
      <c r="M107" s="60">
        <f aca="true" t="shared" si="296" ref="M107:M115">IF(D107="Eau",C107,"")</f>
      </c>
      <c r="N107" s="60">
        <f aca="true" t="shared" si="297" ref="N107:N115">IF(D107="Spéciales1",C107,"")</f>
      </c>
      <c r="O107" s="60">
        <f aca="true" t="shared" si="298" ref="O107:O115">IF(D107="Spéciales2",C107,"")</f>
      </c>
      <c r="P107" s="60">
        <f aca="true" t="shared" si="299" ref="P107:P115">IF(D107="Travaux",C107,"")</f>
      </c>
      <c r="Q107" s="60">
        <f aca="true" t="shared" si="300" ref="Q107:Q115">IF(D107="Provision",C107,"")</f>
      </c>
      <c r="R107" s="60">
        <f aca="true" t="shared" si="301" ref="R107:R115">IF(D107="Lot n°1",C107,"")</f>
      </c>
      <c r="S107" s="60">
        <f aca="true" t="shared" si="302" ref="S107:S115">IF(D107="Lot n°2",C107,"")</f>
      </c>
      <c r="T107" s="60">
        <f aca="true" t="shared" si="303" ref="T107:T115">IF(D107="Lot n°3",C107,"")</f>
      </c>
      <c r="U107" s="60">
        <f aca="true" t="shared" si="304" ref="U107:U115">IF(D107="Lot n°4",C107,"")</f>
      </c>
      <c r="V107" s="61">
        <f aca="true" t="shared" si="305" ref="V107:V115">IF(D107="Lot n°5",C107,"")</f>
      </c>
      <c r="W107" s="61">
        <f>IF(D107="Lot n°6",C107,"")</f>
      </c>
      <c r="X107" s="61">
        <f>IF(D107="Lot n°7",C107,"")</f>
      </c>
      <c r="Y107" s="60">
        <f aca="true" t="shared" si="306" ref="Y107:Y115">IF(D107="Lot n°M",C107,"")</f>
      </c>
      <c r="Z107" s="137">
        <f aca="true" t="shared" si="307" ref="Z107:Z115">IF(J107="60 Achat de matières et fournitures",C107,"")</f>
      </c>
      <c r="AA107" s="135">
        <f aca="true" t="shared" si="308" ref="AA107:AA115">IF(J107="61 Services extérieurs",C107,"")</f>
      </c>
      <c r="AB107" s="135">
        <f aca="true" t="shared" si="309" ref="AB107:AB115">IF(J107="62 Frais d'administration et honoraires",C107,"")</f>
      </c>
      <c r="AC107" s="135">
        <f aca="true" t="shared" si="310" ref="AC107:AC115">IF(J107="63 Impôts - taxes et versements assimilés",C107,"")</f>
      </c>
      <c r="AD107" s="135">
        <f aca="true" t="shared" si="311" ref="AD107:AD115">IF(J107="64 Frais de personnel",C107,"")</f>
      </c>
      <c r="AE107" s="136">
        <f aca="true" t="shared" si="312" ref="AE107:AE115">IF(J107="66 Charges financières des emprunts, agios",C107,"")</f>
      </c>
      <c r="AF107" s="135">
        <f aca="true" t="shared" si="313" ref="AF107:AF115">IF(J107="661 Rembourcement d'annuités d'emprunt",C107,"")</f>
      </c>
      <c r="AG107" s="123">
        <f aca="true" t="shared" si="314" ref="AG107:AG115">IF(J107="671 Travaux décidés par l'AG",C107,"")</f>
      </c>
      <c r="AH107" s="123">
        <f aca="true" t="shared" si="315" ref="AH107:AH115">IF(J107="672 Travaux urgents",C107,"")</f>
      </c>
      <c r="AI107" s="123">
        <f aca="true" t="shared" si="316" ref="AI107:AI115">IF(J107="673 Etudes techniques, diagnostic",C107,"")</f>
      </c>
      <c r="AJ107" s="123">
        <f aca="true" t="shared" si="317" ref="AJ107:AJ115">IF(J107="677 Pertes sur créances irrécouvrables",C107,"")</f>
      </c>
      <c r="AK107" s="123">
        <f aca="true" t="shared" si="318" ref="AK107:AK115">IF(J107="68 Dotations aux dépréciations sur créances douteuses",C107,"")</f>
      </c>
      <c r="AL107" s="123">
        <f aca="true" t="shared" si="319" ref="AL107:AL115">IF(J107="701 Provisions sur opérations courantes",C107,"")</f>
      </c>
      <c r="AM107" s="123">
        <f aca="true" t="shared" si="320" ref="AM107:AM115">IF(J107="702 Provisions pour travaux",C107,"")</f>
      </c>
      <c r="AN107" s="123">
        <f aca="true" t="shared" si="321" ref="AN107:AN115">IF(J107="703 Avances",C107,"")</f>
      </c>
      <c r="AO107" s="123">
        <f aca="true" t="shared" si="322" ref="AO107:AO115">IF(J107="704 Rembourcement d'emprunt",C107,"")</f>
      </c>
      <c r="AP107" s="123">
        <f aca="true" t="shared" si="323" ref="AP107:AP115">IF(J107="711 Subventions sur travaux",C107,"")</f>
      </c>
      <c r="AQ107" s="123">
        <f aca="true" t="shared" si="324" ref="AQ107:AQ115">IF(J107="712 Emprunts",C107,"")</f>
      </c>
      <c r="AR107" s="123">
        <f aca="true" t="shared" si="325" ref="AR107:AR115">IF(J107="713 Indemnités d'assurances",C107,"")</f>
      </c>
      <c r="AS107" s="123">
        <f aca="true" t="shared" si="326" ref="AS107:AS115">IF(J107="714 Produits divers",C107,"")</f>
      </c>
      <c r="AT107" s="93">
        <f aca="true" t="shared" si="327" ref="AT107:AT115">IF(J107="78 Reprises de dépréciations sur créance",C107,"")</f>
      </c>
      <c r="AX107" s="328">
        <f aca="true" t="shared" si="328" ref="AX107:AX115">IF(E107="Locataires",K107,"")</f>
      </c>
      <c r="AY107" s="328">
        <f aca="true" t="shared" si="329" ref="AY107:AY115">IF(E107="Locataires",L107,"")</f>
      </c>
    </row>
    <row r="108" spans="1:51" ht="18" customHeight="1">
      <c r="A108" s="339"/>
      <c r="B108" s="202"/>
      <c r="C108" s="346"/>
      <c r="D108" s="203"/>
      <c r="E108" s="325"/>
      <c r="F108" s="205"/>
      <c r="G108" s="46"/>
      <c r="H108" s="46"/>
      <c r="I108" s="53"/>
      <c r="J108" s="200"/>
      <c r="K108" s="60">
        <f t="shared" si="294"/>
      </c>
      <c r="L108" s="60">
        <f t="shared" si="295"/>
      </c>
      <c r="M108" s="60">
        <f t="shared" si="296"/>
      </c>
      <c r="N108" s="60">
        <f t="shared" si="297"/>
      </c>
      <c r="O108" s="60">
        <f t="shared" si="298"/>
      </c>
      <c r="P108" s="60">
        <f t="shared" si="299"/>
      </c>
      <c r="Q108" s="60">
        <f t="shared" si="300"/>
      </c>
      <c r="R108" s="60">
        <f t="shared" si="301"/>
      </c>
      <c r="S108" s="60">
        <f t="shared" si="302"/>
      </c>
      <c r="T108" s="60">
        <f t="shared" si="303"/>
      </c>
      <c r="U108" s="60">
        <f t="shared" si="304"/>
      </c>
      <c r="V108" s="61">
        <f t="shared" si="305"/>
      </c>
      <c r="W108" s="61">
        <f aca="true" t="shared" si="330" ref="W108:W115">IF(D108="Lot n°6",C108,"")</f>
      </c>
      <c r="X108" s="61">
        <f aca="true" t="shared" si="331" ref="X108:X115">IF(D108="Lot n°7",C108,"")</f>
      </c>
      <c r="Y108" s="60">
        <f t="shared" si="306"/>
      </c>
      <c r="Z108" s="137">
        <f t="shared" si="307"/>
      </c>
      <c r="AA108" s="135">
        <f t="shared" si="308"/>
      </c>
      <c r="AB108" s="135">
        <f t="shared" si="309"/>
      </c>
      <c r="AC108" s="135">
        <f t="shared" si="310"/>
      </c>
      <c r="AD108" s="135">
        <f t="shared" si="311"/>
      </c>
      <c r="AE108" s="136">
        <f t="shared" si="312"/>
      </c>
      <c r="AF108" s="135">
        <f t="shared" si="313"/>
      </c>
      <c r="AG108" s="123">
        <f t="shared" si="314"/>
      </c>
      <c r="AH108" s="123">
        <f t="shared" si="315"/>
      </c>
      <c r="AI108" s="123">
        <f t="shared" si="316"/>
      </c>
      <c r="AJ108" s="123">
        <f t="shared" si="317"/>
      </c>
      <c r="AK108" s="123">
        <f t="shared" si="318"/>
      </c>
      <c r="AL108" s="123">
        <f t="shared" si="319"/>
      </c>
      <c r="AM108" s="123">
        <f t="shared" si="320"/>
      </c>
      <c r="AN108" s="123">
        <f t="shared" si="321"/>
      </c>
      <c r="AO108" s="123">
        <f t="shared" si="322"/>
      </c>
      <c r="AP108" s="123">
        <f t="shared" si="323"/>
      </c>
      <c r="AQ108" s="123">
        <f t="shared" si="324"/>
      </c>
      <c r="AR108" s="123">
        <f t="shared" si="325"/>
      </c>
      <c r="AS108" s="123">
        <f t="shared" si="326"/>
      </c>
      <c r="AT108" s="93">
        <f t="shared" si="327"/>
      </c>
      <c r="AX108" s="328">
        <f t="shared" si="328"/>
      </c>
      <c r="AY108" s="328">
        <f t="shared" si="329"/>
      </c>
    </row>
    <row r="109" spans="1:51" ht="18" customHeight="1">
      <c r="A109" s="339"/>
      <c r="B109" s="202"/>
      <c r="C109" s="346"/>
      <c r="D109" s="203"/>
      <c r="E109" s="325"/>
      <c r="F109" s="205"/>
      <c r="G109" s="46"/>
      <c r="H109" s="46"/>
      <c r="I109" s="53"/>
      <c r="J109" s="200"/>
      <c r="K109" s="60">
        <f t="shared" si="294"/>
      </c>
      <c r="L109" s="60">
        <f t="shared" si="295"/>
      </c>
      <c r="M109" s="60">
        <f t="shared" si="296"/>
      </c>
      <c r="N109" s="60">
        <f t="shared" si="297"/>
      </c>
      <c r="O109" s="60">
        <f t="shared" si="298"/>
      </c>
      <c r="P109" s="60">
        <f t="shared" si="299"/>
      </c>
      <c r="Q109" s="60">
        <f t="shared" si="300"/>
      </c>
      <c r="R109" s="60">
        <f t="shared" si="301"/>
      </c>
      <c r="S109" s="60">
        <f t="shared" si="302"/>
      </c>
      <c r="T109" s="60">
        <f t="shared" si="303"/>
      </c>
      <c r="U109" s="60">
        <f t="shared" si="304"/>
      </c>
      <c r="V109" s="61">
        <f t="shared" si="305"/>
      </c>
      <c r="W109" s="61">
        <f t="shared" si="330"/>
      </c>
      <c r="X109" s="61">
        <f t="shared" si="331"/>
      </c>
      <c r="Y109" s="60">
        <f t="shared" si="306"/>
      </c>
      <c r="Z109" s="137">
        <f t="shared" si="307"/>
      </c>
      <c r="AA109" s="135">
        <f t="shared" si="308"/>
      </c>
      <c r="AB109" s="135">
        <f t="shared" si="309"/>
      </c>
      <c r="AC109" s="135">
        <f t="shared" si="310"/>
      </c>
      <c r="AD109" s="135">
        <f t="shared" si="311"/>
      </c>
      <c r="AE109" s="136">
        <f t="shared" si="312"/>
      </c>
      <c r="AF109" s="135">
        <f t="shared" si="313"/>
      </c>
      <c r="AG109" s="123">
        <f t="shared" si="314"/>
      </c>
      <c r="AH109" s="123">
        <f t="shared" si="315"/>
      </c>
      <c r="AI109" s="123">
        <f t="shared" si="316"/>
      </c>
      <c r="AJ109" s="123">
        <f t="shared" si="317"/>
      </c>
      <c r="AK109" s="123">
        <f t="shared" si="318"/>
      </c>
      <c r="AL109" s="123">
        <f t="shared" si="319"/>
      </c>
      <c r="AM109" s="123">
        <f t="shared" si="320"/>
      </c>
      <c r="AN109" s="123">
        <f t="shared" si="321"/>
      </c>
      <c r="AO109" s="123">
        <f t="shared" si="322"/>
      </c>
      <c r="AP109" s="123">
        <f t="shared" si="323"/>
      </c>
      <c r="AQ109" s="123">
        <f t="shared" si="324"/>
      </c>
      <c r="AR109" s="123">
        <f t="shared" si="325"/>
      </c>
      <c r="AS109" s="123">
        <f t="shared" si="326"/>
      </c>
      <c r="AT109" s="93">
        <f t="shared" si="327"/>
      </c>
      <c r="AX109" s="328">
        <f t="shared" si="328"/>
      </c>
      <c r="AY109" s="328">
        <f t="shared" si="329"/>
      </c>
    </row>
    <row r="110" spans="1:51" ht="18" customHeight="1">
      <c r="A110" s="339"/>
      <c r="B110" s="202"/>
      <c r="C110" s="346"/>
      <c r="D110" s="203"/>
      <c r="E110" s="325"/>
      <c r="F110" s="205"/>
      <c r="G110" s="46"/>
      <c r="H110" s="46"/>
      <c r="I110" s="53"/>
      <c r="J110" s="200"/>
      <c r="K110" s="60">
        <f t="shared" si="294"/>
      </c>
      <c r="L110" s="60">
        <f t="shared" si="295"/>
      </c>
      <c r="M110" s="60">
        <f t="shared" si="296"/>
      </c>
      <c r="N110" s="60">
        <f t="shared" si="297"/>
      </c>
      <c r="O110" s="60">
        <f t="shared" si="298"/>
      </c>
      <c r="P110" s="60">
        <f t="shared" si="299"/>
      </c>
      <c r="Q110" s="60">
        <f t="shared" si="300"/>
      </c>
      <c r="R110" s="60">
        <f t="shared" si="301"/>
      </c>
      <c r="S110" s="60">
        <f t="shared" si="302"/>
      </c>
      <c r="T110" s="60">
        <f t="shared" si="303"/>
      </c>
      <c r="U110" s="60">
        <f t="shared" si="304"/>
      </c>
      <c r="V110" s="61">
        <f t="shared" si="305"/>
      </c>
      <c r="W110" s="61">
        <f t="shared" si="330"/>
      </c>
      <c r="X110" s="61">
        <f t="shared" si="331"/>
      </c>
      <c r="Y110" s="60">
        <f t="shared" si="306"/>
      </c>
      <c r="Z110" s="137">
        <f t="shared" si="307"/>
      </c>
      <c r="AA110" s="135">
        <f t="shared" si="308"/>
      </c>
      <c r="AB110" s="135">
        <f t="shared" si="309"/>
      </c>
      <c r="AC110" s="135">
        <f t="shared" si="310"/>
      </c>
      <c r="AD110" s="135">
        <f t="shared" si="311"/>
      </c>
      <c r="AE110" s="136">
        <f t="shared" si="312"/>
      </c>
      <c r="AF110" s="135">
        <f t="shared" si="313"/>
      </c>
      <c r="AG110" s="123">
        <f t="shared" si="314"/>
      </c>
      <c r="AH110" s="123">
        <f t="shared" si="315"/>
      </c>
      <c r="AI110" s="123">
        <f t="shared" si="316"/>
      </c>
      <c r="AJ110" s="123">
        <f t="shared" si="317"/>
      </c>
      <c r="AK110" s="123">
        <f t="shared" si="318"/>
      </c>
      <c r="AL110" s="123">
        <f t="shared" si="319"/>
      </c>
      <c r="AM110" s="123">
        <f t="shared" si="320"/>
      </c>
      <c r="AN110" s="123">
        <f t="shared" si="321"/>
      </c>
      <c r="AO110" s="123">
        <f t="shared" si="322"/>
      </c>
      <c r="AP110" s="123">
        <f t="shared" si="323"/>
      </c>
      <c r="AQ110" s="123">
        <f t="shared" si="324"/>
      </c>
      <c r="AR110" s="123">
        <f t="shared" si="325"/>
      </c>
      <c r="AS110" s="123">
        <f t="shared" si="326"/>
      </c>
      <c r="AT110" s="93">
        <f t="shared" si="327"/>
      </c>
      <c r="AX110" s="328">
        <f t="shared" si="328"/>
      </c>
      <c r="AY110" s="328">
        <f t="shared" si="329"/>
      </c>
    </row>
    <row r="111" spans="1:51" ht="18" customHeight="1">
      <c r="A111" s="339"/>
      <c r="B111" s="202"/>
      <c r="C111" s="346"/>
      <c r="D111" s="203"/>
      <c r="E111" s="325"/>
      <c r="F111" s="206"/>
      <c r="G111" s="46"/>
      <c r="H111" s="46"/>
      <c r="I111" s="53"/>
      <c r="J111" s="200"/>
      <c r="K111" s="60">
        <f t="shared" si="294"/>
      </c>
      <c r="L111" s="60">
        <f t="shared" si="295"/>
      </c>
      <c r="M111" s="60">
        <f t="shared" si="296"/>
      </c>
      <c r="N111" s="60">
        <f t="shared" si="297"/>
      </c>
      <c r="O111" s="60">
        <f t="shared" si="298"/>
      </c>
      <c r="P111" s="60">
        <f t="shared" si="299"/>
      </c>
      <c r="Q111" s="60">
        <f t="shared" si="300"/>
      </c>
      <c r="R111" s="60">
        <f t="shared" si="301"/>
      </c>
      <c r="S111" s="60">
        <f t="shared" si="302"/>
      </c>
      <c r="T111" s="60">
        <f t="shared" si="303"/>
      </c>
      <c r="U111" s="60">
        <f t="shared" si="304"/>
      </c>
      <c r="V111" s="61">
        <f t="shared" si="305"/>
      </c>
      <c r="W111" s="61">
        <f t="shared" si="330"/>
      </c>
      <c r="X111" s="61">
        <f t="shared" si="331"/>
      </c>
      <c r="Y111" s="60">
        <f t="shared" si="306"/>
      </c>
      <c r="Z111" s="137">
        <f t="shared" si="307"/>
      </c>
      <c r="AA111" s="135">
        <f t="shared" si="308"/>
      </c>
      <c r="AB111" s="135">
        <f t="shared" si="309"/>
      </c>
      <c r="AC111" s="135">
        <f t="shared" si="310"/>
      </c>
      <c r="AD111" s="135">
        <f t="shared" si="311"/>
      </c>
      <c r="AE111" s="136">
        <f t="shared" si="312"/>
      </c>
      <c r="AF111" s="135">
        <f t="shared" si="313"/>
      </c>
      <c r="AG111" s="123">
        <f t="shared" si="314"/>
      </c>
      <c r="AH111" s="123">
        <f t="shared" si="315"/>
      </c>
      <c r="AI111" s="123">
        <f t="shared" si="316"/>
      </c>
      <c r="AJ111" s="123">
        <f t="shared" si="317"/>
      </c>
      <c r="AK111" s="123">
        <f t="shared" si="318"/>
      </c>
      <c r="AL111" s="123">
        <f t="shared" si="319"/>
      </c>
      <c r="AM111" s="123">
        <f t="shared" si="320"/>
      </c>
      <c r="AN111" s="123">
        <f t="shared" si="321"/>
      </c>
      <c r="AO111" s="123">
        <f t="shared" si="322"/>
      </c>
      <c r="AP111" s="123">
        <f t="shared" si="323"/>
      </c>
      <c r="AQ111" s="123">
        <f t="shared" si="324"/>
      </c>
      <c r="AR111" s="123">
        <f t="shared" si="325"/>
      </c>
      <c r="AS111" s="123">
        <f t="shared" si="326"/>
      </c>
      <c r="AT111" s="93">
        <f t="shared" si="327"/>
      </c>
      <c r="AX111" s="328">
        <f t="shared" si="328"/>
      </c>
      <c r="AY111" s="328">
        <f t="shared" si="329"/>
      </c>
    </row>
    <row r="112" spans="1:51" ht="18" customHeight="1">
      <c r="A112" s="339"/>
      <c r="B112" s="202"/>
      <c r="C112" s="346"/>
      <c r="D112" s="203"/>
      <c r="E112" s="325"/>
      <c r="F112" s="206"/>
      <c r="G112" s="46"/>
      <c r="H112" s="46"/>
      <c r="I112" s="53"/>
      <c r="J112" s="200"/>
      <c r="K112" s="60">
        <f t="shared" si="294"/>
      </c>
      <c r="L112" s="60">
        <f t="shared" si="295"/>
      </c>
      <c r="M112" s="60">
        <f t="shared" si="296"/>
      </c>
      <c r="N112" s="60">
        <f t="shared" si="297"/>
      </c>
      <c r="O112" s="60">
        <f t="shared" si="298"/>
      </c>
      <c r="P112" s="60">
        <f t="shared" si="299"/>
      </c>
      <c r="Q112" s="60">
        <f t="shared" si="300"/>
      </c>
      <c r="R112" s="60">
        <f t="shared" si="301"/>
      </c>
      <c r="S112" s="60">
        <f t="shared" si="302"/>
      </c>
      <c r="T112" s="60">
        <f t="shared" si="303"/>
      </c>
      <c r="U112" s="60">
        <f t="shared" si="304"/>
      </c>
      <c r="V112" s="61">
        <f t="shared" si="305"/>
      </c>
      <c r="W112" s="61">
        <f t="shared" si="330"/>
      </c>
      <c r="X112" s="61">
        <f t="shared" si="331"/>
      </c>
      <c r="Y112" s="60">
        <f t="shared" si="306"/>
      </c>
      <c r="Z112" s="137">
        <f t="shared" si="307"/>
      </c>
      <c r="AA112" s="135">
        <f t="shared" si="308"/>
      </c>
      <c r="AB112" s="135">
        <f t="shared" si="309"/>
      </c>
      <c r="AC112" s="135">
        <f t="shared" si="310"/>
      </c>
      <c r="AD112" s="135">
        <f t="shared" si="311"/>
      </c>
      <c r="AE112" s="136">
        <f t="shared" si="312"/>
      </c>
      <c r="AF112" s="135">
        <f t="shared" si="313"/>
      </c>
      <c r="AG112" s="123">
        <f t="shared" si="314"/>
      </c>
      <c r="AH112" s="123">
        <f t="shared" si="315"/>
      </c>
      <c r="AI112" s="123">
        <f t="shared" si="316"/>
      </c>
      <c r="AJ112" s="123">
        <f t="shared" si="317"/>
      </c>
      <c r="AK112" s="123">
        <f t="shared" si="318"/>
      </c>
      <c r="AL112" s="123">
        <f t="shared" si="319"/>
      </c>
      <c r="AM112" s="123">
        <f t="shared" si="320"/>
      </c>
      <c r="AN112" s="123">
        <f t="shared" si="321"/>
      </c>
      <c r="AO112" s="123">
        <f t="shared" si="322"/>
      </c>
      <c r="AP112" s="123">
        <f t="shared" si="323"/>
      </c>
      <c r="AQ112" s="123">
        <f t="shared" si="324"/>
      </c>
      <c r="AR112" s="123">
        <f t="shared" si="325"/>
      </c>
      <c r="AS112" s="123">
        <f t="shared" si="326"/>
      </c>
      <c r="AT112" s="93">
        <f t="shared" si="327"/>
      </c>
      <c r="AX112" s="328">
        <f t="shared" si="328"/>
      </c>
      <c r="AY112" s="328">
        <f t="shared" si="329"/>
      </c>
    </row>
    <row r="113" spans="1:51" ht="18" customHeight="1">
      <c r="A113" s="339"/>
      <c r="B113" s="202"/>
      <c r="C113" s="346"/>
      <c r="D113" s="203"/>
      <c r="E113" s="325"/>
      <c r="F113" s="206"/>
      <c r="G113" s="46"/>
      <c r="H113" s="46"/>
      <c r="I113" s="53"/>
      <c r="J113" s="200"/>
      <c r="K113" s="60">
        <f t="shared" si="294"/>
      </c>
      <c r="L113" s="60">
        <f t="shared" si="295"/>
      </c>
      <c r="M113" s="60">
        <f t="shared" si="296"/>
      </c>
      <c r="N113" s="60">
        <f t="shared" si="297"/>
      </c>
      <c r="O113" s="60">
        <f t="shared" si="298"/>
      </c>
      <c r="P113" s="60">
        <f t="shared" si="299"/>
      </c>
      <c r="Q113" s="60">
        <f t="shared" si="300"/>
      </c>
      <c r="R113" s="60">
        <f t="shared" si="301"/>
      </c>
      <c r="S113" s="60">
        <f t="shared" si="302"/>
      </c>
      <c r="T113" s="60">
        <f t="shared" si="303"/>
      </c>
      <c r="U113" s="60">
        <f t="shared" si="304"/>
      </c>
      <c r="V113" s="61">
        <f t="shared" si="305"/>
      </c>
      <c r="W113" s="61">
        <f t="shared" si="330"/>
      </c>
      <c r="X113" s="61">
        <f t="shared" si="331"/>
      </c>
      <c r="Y113" s="60">
        <f t="shared" si="306"/>
      </c>
      <c r="Z113" s="137">
        <f t="shared" si="307"/>
      </c>
      <c r="AA113" s="135">
        <f t="shared" si="308"/>
      </c>
      <c r="AB113" s="135">
        <f t="shared" si="309"/>
      </c>
      <c r="AC113" s="135">
        <f t="shared" si="310"/>
      </c>
      <c r="AD113" s="135">
        <f t="shared" si="311"/>
      </c>
      <c r="AE113" s="136">
        <f t="shared" si="312"/>
      </c>
      <c r="AF113" s="135">
        <f t="shared" si="313"/>
      </c>
      <c r="AG113" s="123">
        <f t="shared" si="314"/>
      </c>
      <c r="AH113" s="123">
        <f t="shared" si="315"/>
      </c>
      <c r="AI113" s="123">
        <f t="shared" si="316"/>
      </c>
      <c r="AJ113" s="123">
        <f t="shared" si="317"/>
      </c>
      <c r="AK113" s="123">
        <f t="shared" si="318"/>
      </c>
      <c r="AL113" s="123">
        <f t="shared" si="319"/>
      </c>
      <c r="AM113" s="123">
        <f t="shared" si="320"/>
      </c>
      <c r="AN113" s="123">
        <f t="shared" si="321"/>
      </c>
      <c r="AO113" s="123">
        <f t="shared" si="322"/>
      </c>
      <c r="AP113" s="123">
        <f t="shared" si="323"/>
      </c>
      <c r="AQ113" s="123">
        <f t="shared" si="324"/>
      </c>
      <c r="AR113" s="123">
        <f t="shared" si="325"/>
      </c>
      <c r="AS113" s="123">
        <f t="shared" si="326"/>
      </c>
      <c r="AT113" s="93">
        <f t="shared" si="327"/>
      </c>
      <c r="AX113" s="328">
        <f t="shared" si="328"/>
      </c>
      <c r="AY113" s="328">
        <f t="shared" si="329"/>
      </c>
    </row>
    <row r="114" spans="1:51" ht="18" customHeight="1">
      <c r="A114" s="339"/>
      <c r="B114" s="202"/>
      <c r="C114" s="346"/>
      <c r="D114" s="203"/>
      <c r="E114" s="325"/>
      <c r="F114" s="206"/>
      <c r="G114" s="46"/>
      <c r="H114" s="46"/>
      <c r="I114" s="53"/>
      <c r="J114" s="200"/>
      <c r="K114" s="60">
        <f t="shared" si="294"/>
      </c>
      <c r="L114" s="60">
        <f t="shared" si="295"/>
      </c>
      <c r="M114" s="60">
        <f t="shared" si="296"/>
      </c>
      <c r="N114" s="60">
        <f t="shared" si="297"/>
      </c>
      <c r="O114" s="60">
        <f t="shared" si="298"/>
      </c>
      <c r="P114" s="60">
        <f t="shared" si="299"/>
      </c>
      <c r="Q114" s="60">
        <f t="shared" si="300"/>
      </c>
      <c r="R114" s="60">
        <f t="shared" si="301"/>
      </c>
      <c r="S114" s="60">
        <f t="shared" si="302"/>
      </c>
      <c r="T114" s="60">
        <f t="shared" si="303"/>
      </c>
      <c r="U114" s="60">
        <f t="shared" si="304"/>
      </c>
      <c r="V114" s="61">
        <f t="shared" si="305"/>
      </c>
      <c r="W114" s="61">
        <f t="shared" si="330"/>
      </c>
      <c r="X114" s="61">
        <f t="shared" si="331"/>
      </c>
      <c r="Y114" s="60">
        <f t="shared" si="306"/>
      </c>
      <c r="Z114" s="137">
        <f t="shared" si="307"/>
      </c>
      <c r="AA114" s="135">
        <f t="shared" si="308"/>
      </c>
      <c r="AB114" s="135">
        <f t="shared" si="309"/>
      </c>
      <c r="AC114" s="135">
        <f t="shared" si="310"/>
      </c>
      <c r="AD114" s="135">
        <f t="shared" si="311"/>
      </c>
      <c r="AE114" s="136">
        <f t="shared" si="312"/>
      </c>
      <c r="AF114" s="135">
        <f t="shared" si="313"/>
      </c>
      <c r="AG114" s="123">
        <f t="shared" si="314"/>
      </c>
      <c r="AH114" s="123">
        <f t="shared" si="315"/>
      </c>
      <c r="AI114" s="123">
        <f t="shared" si="316"/>
      </c>
      <c r="AJ114" s="123">
        <f t="shared" si="317"/>
      </c>
      <c r="AK114" s="123">
        <f t="shared" si="318"/>
      </c>
      <c r="AL114" s="123">
        <f t="shared" si="319"/>
      </c>
      <c r="AM114" s="123">
        <f t="shared" si="320"/>
      </c>
      <c r="AN114" s="123">
        <f t="shared" si="321"/>
      </c>
      <c r="AO114" s="123">
        <f t="shared" si="322"/>
      </c>
      <c r="AP114" s="123">
        <f t="shared" si="323"/>
      </c>
      <c r="AQ114" s="123">
        <f t="shared" si="324"/>
      </c>
      <c r="AR114" s="123">
        <f t="shared" si="325"/>
      </c>
      <c r="AS114" s="123">
        <f t="shared" si="326"/>
      </c>
      <c r="AT114" s="93">
        <f t="shared" si="327"/>
      </c>
      <c r="AX114" s="328">
        <f t="shared" si="328"/>
      </c>
      <c r="AY114" s="328">
        <f t="shared" si="329"/>
      </c>
    </row>
    <row r="115" spans="1:51" ht="18" customHeight="1">
      <c r="A115" s="339"/>
      <c r="B115" s="202"/>
      <c r="C115" s="346"/>
      <c r="D115" s="203"/>
      <c r="E115" s="325"/>
      <c r="F115" s="207"/>
      <c r="G115" s="47"/>
      <c r="H115" s="46"/>
      <c r="I115" s="53"/>
      <c r="J115" s="200"/>
      <c r="K115" s="60">
        <f t="shared" si="294"/>
      </c>
      <c r="L115" s="60">
        <f t="shared" si="295"/>
      </c>
      <c r="M115" s="60">
        <f t="shared" si="296"/>
      </c>
      <c r="N115" s="60">
        <f t="shared" si="297"/>
      </c>
      <c r="O115" s="60">
        <f t="shared" si="298"/>
      </c>
      <c r="P115" s="60">
        <f t="shared" si="299"/>
      </c>
      <c r="Q115" s="60">
        <f t="shared" si="300"/>
      </c>
      <c r="R115" s="60">
        <f t="shared" si="301"/>
      </c>
      <c r="S115" s="60">
        <f t="shared" si="302"/>
      </c>
      <c r="T115" s="60">
        <f t="shared" si="303"/>
      </c>
      <c r="U115" s="60">
        <f t="shared" si="304"/>
      </c>
      <c r="V115" s="61">
        <f t="shared" si="305"/>
      </c>
      <c r="W115" s="61">
        <f t="shared" si="330"/>
      </c>
      <c r="X115" s="61">
        <f t="shared" si="331"/>
      </c>
      <c r="Y115" s="60">
        <f t="shared" si="306"/>
      </c>
      <c r="Z115" s="137">
        <f t="shared" si="307"/>
      </c>
      <c r="AA115" s="135">
        <f t="shared" si="308"/>
      </c>
      <c r="AB115" s="135">
        <f t="shared" si="309"/>
      </c>
      <c r="AC115" s="135">
        <f t="shared" si="310"/>
      </c>
      <c r="AD115" s="135">
        <f t="shared" si="311"/>
      </c>
      <c r="AE115" s="136">
        <f t="shared" si="312"/>
      </c>
      <c r="AF115" s="135">
        <f t="shared" si="313"/>
      </c>
      <c r="AG115" s="123">
        <f t="shared" si="314"/>
      </c>
      <c r="AH115" s="123">
        <f t="shared" si="315"/>
      </c>
      <c r="AI115" s="123">
        <f t="shared" si="316"/>
      </c>
      <c r="AJ115" s="123">
        <f t="shared" si="317"/>
      </c>
      <c r="AK115" s="123">
        <f t="shared" si="318"/>
      </c>
      <c r="AL115" s="123">
        <f t="shared" si="319"/>
      </c>
      <c r="AM115" s="123">
        <f t="shared" si="320"/>
      </c>
      <c r="AN115" s="123">
        <f t="shared" si="321"/>
      </c>
      <c r="AO115" s="123">
        <f t="shared" si="322"/>
      </c>
      <c r="AP115" s="123">
        <f t="shared" si="323"/>
      </c>
      <c r="AQ115" s="123">
        <f t="shared" si="324"/>
      </c>
      <c r="AR115" s="123">
        <f t="shared" si="325"/>
      </c>
      <c r="AS115" s="123">
        <f t="shared" si="326"/>
      </c>
      <c r="AT115" s="93">
        <f t="shared" si="327"/>
      </c>
      <c r="AX115" s="328">
        <f t="shared" si="328"/>
      </c>
      <c r="AY115" s="328">
        <f t="shared" si="329"/>
      </c>
    </row>
    <row r="116" spans="1:51" ht="18" customHeight="1">
      <c r="A116" s="40" t="s">
        <v>117</v>
      </c>
      <c r="B116" s="29"/>
      <c r="C116" s="41">
        <f>SUM(C107,C108,C109,C110,C111,C112,C113,C114,C115)</f>
        <v>0</v>
      </c>
      <c r="D116" s="36">
        <f>D103+C116</f>
        <v>0</v>
      </c>
      <c r="E116" s="327"/>
      <c r="F116" s="203"/>
      <c r="G116" s="49">
        <f>'Comptes Lots'!B12+'Comptes Lots'!B35+'Comptes Lots'!B58+'Comptes Lots'!B81+'Comptes Lots'!B104+'Comptes Lots'!B127+'Comptes Lots'!B150+'Comptes Lots'!B173</f>
        <v>0</v>
      </c>
      <c r="H116" s="41">
        <f>H103+'Comptes Lots'!I12+'Comptes Lots'!I35+'Comptes Lots'!I58+'Comptes Lots'!I81+'Comptes Lots'!I104+'Comptes Lots'!I127+'Comptes Lots'!I150+'Comptes Lots'!I173</f>
        <v>0</v>
      </c>
      <c r="I116" s="64"/>
      <c r="J116" s="40" t="s">
        <v>117</v>
      </c>
      <c r="K116" s="41">
        <f aca="true" t="shared" si="332" ref="K116:Q116">SUM(K107,K108,K109,K110,K111,K112,K113,K114,K115)</f>
        <v>0</v>
      </c>
      <c r="L116" s="41">
        <f t="shared" si="332"/>
        <v>0</v>
      </c>
      <c r="M116" s="41">
        <f t="shared" si="332"/>
        <v>0</v>
      </c>
      <c r="N116" s="41">
        <f t="shared" si="332"/>
        <v>0</v>
      </c>
      <c r="O116" s="41">
        <f t="shared" si="332"/>
        <v>0</v>
      </c>
      <c r="P116" s="41">
        <f t="shared" si="332"/>
        <v>0</v>
      </c>
      <c r="Q116" s="41">
        <f t="shared" si="332"/>
        <v>0</v>
      </c>
      <c r="R116" s="41">
        <f aca="true" t="shared" si="333" ref="R116:Y116">SUM(R107,R108,R109,R110,R111,R112,R113,R114,R115)</f>
        <v>0</v>
      </c>
      <c r="S116" s="41">
        <f t="shared" si="333"/>
        <v>0</v>
      </c>
      <c r="T116" s="41">
        <f t="shared" si="333"/>
        <v>0</v>
      </c>
      <c r="U116" s="41">
        <f t="shared" si="333"/>
        <v>0</v>
      </c>
      <c r="V116" s="42">
        <f t="shared" si="333"/>
        <v>0</v>
      </c>
      <c r="W116" s="42">
        <f t="shared" si="333"/>
        <v>0</v>
      </c>
      <c r="X116" s="42">
        <f t="shared" si="333"/>
        <v>0</v>
      </c>
      <c r="Y116" s="41">
        <f t="shared" si="333"/>
        <v>0</v>
      </c>
      <c r="Z116" s="133">
        <f aca="true" t="shared" si="334" ref="Z116:AT116">SUM(Z107,Z108,Z109,Z110,Z111,Z112,Z113,Z114,Z115)</f>
        <v>0</v>
      </c>
      <c r="AA116" s="133">
        <f t="shared" si="334"/>
        <v>0</v>
      </c>
      <c r="AB116" s="133">
        <f t="shared" si="334"/>
        <v>0</v>
      </c>
      <c r="AC116" s="133">
        <f t="shared" si="334"/>
        <v>0</v>
      </c>
      <c r="AD116" s="133">
        <f t="shared" si="334"/>
        <v>0</v>
      </c>
      <c r="AE116" s="134">
        <f t="shared" si="334"/>
        <v>0</v>
      </c>
      <c r="AF116" s="133">
        <f t="shared" si="334"/>
        <v>0</v>
      </c>
      <c r="AG116" s="133">
        <f t="shared" si="334"/>
        <v>0</v>
      </c>
      <c r="AH116" s="133">
        <f t="shared" si="334"/>
        <v>0</v>
      </c>
      <c r="AI116" s="133">
        <f t="shared" si="334"/>
        <v>0</v>
      </c>
      <c r="AJ116" s="133">
        <f t="shared" si="334"/>
        <v>0</v>
      </c>
      <c r="AK116" s="133">
        <f t="shared" si="334"/>
        <v>0</v>
      </c>
      <c r="AL116" s="133">
        <f t="shared" si="334"/>
        <v>0</v>
      </c>
      <c r="AM116" s="134">
        <f t="shared" si="334"/>
        <v>0</v>
      </c>
      <c r="AN116" s="133">
        <f t="shared" si="334"/>
        <v>0</v>
      </c>
      <c r="AO116" s="133">
        <f t="shared" si="334"/>
        <v>0</v>
      </c>
      <c r="AP116" s="133">
        <f t="shared" si="334"/>
        <v>0</v>
      </c>
      <c r="AQ116" s="133">
        <f t="shared" si="334"/>
        <v>0</v>
      </c>
      <c r="AR116" s="133">
        <f t="shared" si="334"/>
        <v>0</v>
      </c>
      <c r="AS116" s="133">
        <f t="shared" si="334"/>
        <v>0</v>
      </c>
      <c r="AT116" s="133">
        <f t="shared" si="334"/>
        <v>0</v>
      </c>
      <c r="AX116" s="329">
        <f>SUM(AX107,AX108,AX109,AX110,AX111,AX112,AX113,AX114,AX115)</f>
        <v>0</v>
      </c>
      <c r="AY116" s="329">
        <f>SUM(AY107,AY108,AY109,AY110,AY111,AY112,AY113,AY114,AY115)</f>
        <v>0</v>
      </c>
    </row>
    <row r="117" spans="1:25" ht="9.75" customHeight="1">
      <c r="A117" s="11"/>
      <c r="B117" s="11"/>
      <c r="C117" s="11"/>
      <c r="D117" s="11"/>
      <c r="E117" s="11"/>
      <c r="F117" s="11"/>
      <c r="G117" s="11"/>
      <c r="H117" s="11"/>
      <c r="I117" s="50"/>
      <c r="J117" s="11"/>
      <c r="K117" s="11"/>
      <c r="L117" s="11"/>
      <c r="M117" s="11"/>
      <c r="N117" s="11"/>
      <c r="O117" s="11"/>
      <c r="P117" s="11"/>
      <c r="Q117" s="11"/>
      <c r="Y117" s="1"/>
    </row>
    <row r="118" spans="1:51" ht="18" customHeight="1">
      <c r="A118" s="39" t="s">
        <v>57</v>
      </c>
      <c r="B118" s="15"/>
      <c r="C118" s="15"/>
      <c r="D118" s="39"/>
      <c r="E118" s="39"/>
      <c r="F118" s="39" t="s">
        <v>324</v>
      </c>
      <c r="G118" s="15"/>
      <c r="H118" s="15"/>
      <c r="I118" s="52"/>
      <c r="J118" s="39" t="s">
        <v>57</v>
      </c>
      <c r="K118" s="39" t="s">
        <v>116</v>
      </c>
      <c r="L118" s="39"/>
      <c r="M118" s="15"/>
      <c r="N118" s="15"/>
      <c r="O118" s="14"/>
      <c r="P118" s="14"/>
      <c r="Q118" s="16"/>
      <c r="R118" s="39" t="s">
        <v>346</v>
      </c>
      <c r="S118" s="15"/>
      <c r="T118" s="15"/>
      <c r="U118" s="15"/>
      <c r="V118" s="14"/>
      <c r="W118" s="14"/>
      <c r="X118" s="14"/>
      <c r="Y118" s="16"/>
      <c r="Z118" s="127" t="s">
        <v>134</v>
      </c>
      <c r="AA118" s="128" t="s">
        <v>70</v>
      </c>
      <c r="AB118" s="103"/>
      <c r="AC118" s="103"/>
      <c r="AD118" s="103"/>
      <c r="AE118" s="129"/>
      <c r="AF118" s="129"/>
      <c r="AG118" s="92"/>
      <c r="AH118" s="92"/>
      <c r="AI118" s="92"/>
      <c r="AJ118" s="92"/>
      <c r="AK118" s="92"/>
      <c r="AL118" s="92"/>
      <c r="AM118" s="92"/>
      <c r="AN118" s="92"/>
      <c r="AO118" s="92"/>
      <c r="AP118" s="92"/>
      <c r="AQ118" s="92"/>
      <c r="AR118" s="92"/>
      <c r="AS118" s="92"/>
      <c r="AT118" s="95"/>
      <c r="AX118" s="93" t="s">
        <v>221</v>
      </c>
      <c r="AY118" s="93"/>
    </row>
    <row r="119" spans="1:51" ht="18" customHeight="1">
      <c r="A119" s="19" t="s">
        <v>292</v>
      </c>
      <c r="B119" s="19" t="s">
        <v>305</v>
      </c>
      <c r="C119" s="19" t="s">
        <v>320</v>
      </c>
      <c r="D119" s="35" t="s">
        <v>118</v>
      </c>
      <c r="E119" s="35" t="s">
        <v>326</v>
      </c>
      <c r="F119" s="35" t="s">
        <v>321</v>
      </c>
      <c r="G119" s="48" t="s">
        <v>323</v>
      </c>
      <c r="H119" s="43" t="s">
        <v>322</v>
      </c>
      <c r="I119" s="52"/>
      <c r="J119" s="19" t="s">
        <v>134</v>
      </c>
      <c r="K119" s="19" t="str">
        <f aca="true" t="shared" si="335" ref="K119:Q119">K106</f>
        <v>Générales</v>
      </c>
      <c r="L119" s="19" t="str">
        <f t="shared" si="335"/>
        <v>Escalier</v>
      </c>
      <c r="M119" s="19" t="str">
        <f t="shared" si="335"/>
        <v>Eau</v>
      </c>
      <c r="N119" s="19" t="str">
        <f t="shared" si="335"/>
        <v>Charge1</v>
      </c>
      <c r="O119" s="19" t="str">
        <f t="shared" si="335"/>
        <v>Charge2</v>
      </c>
      <c r="P119" s="19" t="str">
        <f t="shared" si="335"/>
        <v>Travaux</v>
      </c>
      <c r="Q119" s="19" t="str">
        <f t="shared" si="335"/>
        <v>Provision</v>
      </c>
      <c r="R119" s="19" t="s">
        <v>52</v>
      </c>
      <c r="S119" s="19" t="s">
        <v>408</v>
      </c>
      <c r="T119" s="19" t="s">
        <v>53</v>
      </c>
      <c r="U119" s="19" t="s">
        <v>300</v>
      </c>
      <c r="V119" s="13" t="s">
        <v>209</v>
      </c>
      <c r="W119" s="13" t="s">
        <v>469</v>
      </c>
      <c r="X119" s="13" t="s">
        <v>470</v>
      </c>
      <c r="Y119" s="34" t="s">
        <v>43</v>
      </c>
      <c r="Z119" s="130">
        <v>60</v>
      </c>
      <c r="AA119" s="130">
        <v>61</v>
      </c>
      <c r="AB119" s="130">
        <v>62</v>
      </c>
      <c r="AC119" s="130">
        <v>63</v>
      </c>
      <c r="AD119" s="130">
        <v>64</v>
      </c>
      <c r="AE119" s="131">
        <v>66</v>
      </c>
      <c r="AF119" s="132">
        <v>661</v>
      </c>
      <c r="AG119" s="138">
        <v>671</v>
      </c>
      <c r="AH119" s="132">
        <v>672</v>
      </c>
      <c r="AI119" s="132">
        <v>673</v>
      </c>
      <c r="AJ119" s="132">
        <v>677</v>
      </c>
      <c r="AK119" s="132">
        <v>68</v>
      </c>
      <c r="AL119" s="132">
        <v>701</v>
      </c>
      <c r="AM119" s="132">
        <v>702</v>
      </c>
      <c r="AN119" s="132">
        <v>703</v>
      </c>
      <c r="AO119" s="132">
        <v>704</v>
      </c>
      <c r="AP119" s="132">
        <v>711</v>
      </c>
      <c r="AQ119" s="132">
        <v>712</v>
      </c>
      <c r="AR119" s="132">
        <v>713</v>
      </c>
      <c r="AS119" s="132">
        <v>714</v>
      </c>
      <c r="AT119" s="93"/>
      <c r="AX119" s="93" t="s">
        <v>442</v>
      </c>
      <c r="AY119" s="93" t="s">
        <v>303</v>
      </c>
    </row>
    <row r="120" spans="1:51" ht="18" customHeight="1">
      <c r="A120" s="339"/>
      <c r="B120" s="202"/>
      <c r="C120" s="346"/>
      <c r="D120" s="203"/>
      <c r="E120" s="325"/>
      <c r="F120" s="204"/>
      <c r="G120" s="45"/>
      <c r="H120" s="45"/>
      <c r="I120" s="53"/>
      <c r="J120" s="200"/>
      <c r="K120" s="60">
        <f aca="true" t="shared" si="336" ref="K120:K128">IF(D120="Générales",C120,"")</f>
      </c>
      <c r="L120" s="60">
        <f aca="true" t="shared" si="337" ref="L120:L128">IF(D120="Escalier",C120,"")</f>
      </c>
      <c r="M120" s="60">
        <f aca="true" t="shared" si="338" ref="M120:M128">IF(D120="Eau",C120,"")</f>
      </c>
      <c r="N120" s="60">
        <f aca="true" t="shared" si="339" ref="N120:N128">IF(D120="Spéciales1",C120,"")</f>
      </c>
      <c r="O120" s="60">
        <f aca="true" t="shared" si="340" ref="O120:O128">IF(D120="Spéciales2",C120,"")</f>
      </c>
      <c r="P120" s="60">
        <f aca="true" t="shared" si="341" ref="P120:P128">IF(D120="Travaux",C120,"")</f>
      </c>
      <c r="Q120" s="60">
        <f aca="true" t="shared" si="342" ref="Q120:Q128">IF(D120="Provision",C120,"")</f>
      </c>
      <c r="R120" s="60">
        <f aca="true" t="shared" si="343" ref="R120:R128">IF(D120="Lot n°1",C120,"")</f>
      </c>
      <c r="S120" s="60">
        <f aca="true" t="shared" si="344" ref="S120:S128">IF(D120="Lot n°2",C120,"")</f>
      </c>
      <c r="T120" s="60">
        <f aca="true" t="shared" si="345" ref="T120:T128">IF(D120="Lot n°3",C120,"")</f>
      </c>
      <c r="U120" s="60">
        <f aca="true" t="shared" si="346" ref="U120:U128">IF(D120="Lot n°4",C120,"")</f>
      </c>
      <c r="V120" s="61">
        <f aca="true" t="shared" si="347" ref="V120:V128">IF(D120="Lot n°5",C120,"")</f>
      </c>
      <c r="W120" s="61">
        <f>IF(D120="Lot n°6",C120,"")</f>
      </c>
      <c r="X120" s="61">
        <f>IF(D120="Lot n°7",C120,"")</f>
      </c>
      <c r="Y120" s="60">
        <f aca="true" t="shared" si="348" ref="Y120:Y128">IF(D120="Lot n°M",C120,"")</f>
      </c>
      <c r="Z120" s="137">
        <f aca="true" t="shared" si="349" ref="Z120:Z128">IF(J120="60 Achat de matières et fournitures",C120,"")</f>
      </c>
      <c r="AA120" s="135">
        <f aca="true" t="shared" si="350" ref="AA120:AA128">IF(J120="61 Services extérieurs",C120,"")</f>
      </c>
      <c r="AB120" s="135">
        <f aca="true" t="shared" si="351" ref="AB120:AB128">IF(J120="62 Frais d'administration et honoraires",C120,"")</f>
      </c>
      <c r="AC120" s="135">
        <f aca="true" t="shared" si="352" ref="AC120:AC128">IF(J120="63 Impôts - taxes et versements assimilés",C120,"")</f>
      </c>
      <c r="AD120" s="135">
        <f aca="true" t="shared" si="353" ref="AD120:AD128">IF(J120="64 Frais de personnel",C120,"")</f>
      </c>
      <c r="AE120" s="136">
        <f aca="true" t="shared" si="354" ref="AE120:AE128">IF(J120="66 Charges financières des emprunts, agios",C120,"")</f>
      </c>
      <c r="AF120" s="135">
        <f aca="true" t="shared" si="355" ref="AF120:AF128">IF(J120="661 Rembourcement d'annuités d'emprunt",C120,"")</f>
      </c>
      <c r="AG120" s="123">
        <f aca="true" t="shared" si="356" ref="AG120:AG128">IF(J120="671 Travaux décidés par l'AG",C120,"")</f>
      </c>
      <c r="AH120" s="123">
        <f aca="true" t="shared" si="357" ref="AH120:AH128">IF(J120="672 Travaux urgents",C120,"")</f>
      </c>
      <c r="AI120" s="123">
        <f aca="true" t="shared" si="358" ref="AI120:AI128">IF(J120="673 Etudes techniques, diagnostic",C120,"")</f>
      </c>
      <c r="AJ120" s="123">
        <f aca="true" t="shared" si="359" ref="AJ120:AJ128">IF(J120="677 Pertes sur créances irrécouvrables",C120,"")</f>
      </c>
      <c r="AK120" s="123">
        <f aca="true" t="shared" si="360" ref="AK120:AK128">IF(J120="68 Dotations aux dépréciations sur créances douteuses",C120,"")</f>
      </c>
      <c r="AL120" s="123">
        <f aca="true" t="shared" si="361" ref="AL120:AL128">IF(J120="701 Provisions sur opérations courantes",C120,"")</f>
      </c>
      <c r="AM120" s="123">
        <f aca="true" t="shared" si="362" ref="AM120:AM128">IF(J120="702 Provisions pour travaux",C120,"")</f>
      </c>
      <c r="AN120" s="123">
        <f aca="true" t="shared" si="363" ref="AN120:AN128">IF(J120="703 Avances",C120,"")</f>
      </c>
      <c r="AO120" s="123">
        <f aca="true" t="shared" si="364" ref="AO120:AO128">IF(J120="704 Rembourcement d'emprunt",C120,"")</f>
      </c>
      <c r="AP120" s="123">
        <f aca="true" t="shared" si="365" ref="AP120:AP128">IF(J120="711 Subventions sur travaux",C120,"")</f>
      </c>
      <c r="AQ120" s="123">
        <f aca="true" t="shared" si="366" ref="AQ120:AQ128">IF(J120="712 Emprunts",C120,"")</f>
      </c>
      <c r="AR120" s="123">
        <f aca="true" t="shared" si="367" ref="AR120:AR128">IF(J120="713 Indemnités d'assurances",C120,"")</f>
      </c>
      <c r="AS120" s="123">
        <f aca="true" t="shared" si="368" ref="AS120:AS128">IF(J120="714 Produits divers",C120,"")</f>
      </c>
      <c r="AT120" s="93">
        <f aca="true" t="shared" si="369" ref="AT120:AT128">IF(J120="78 Reprises de dépréciations sur créance",C120,"")</f>
      </c>
      <c r="AX120" s="328">
        <f aca="true" t="shared" si="370" ref="AX120:AX128">IF(E120="Locataires",K120,"")</f>
      </c>
      <c r="AY120" s="328">
        <f aca="true" t="shared" si="371" ref="AY120:AY128">IF(E120="Locataires",L120,"")</f>
      </c>
    </row>
    <row r="121" spans="1:51" ht="18" customHeight="1">
      <c r="A121" s="339"/>
      <c r="B121" s="202"/>
      <c r="C121" s="346"/>
      <c r="D121" s="203"/>
      <c r="E121" s="325"/>
      <c r="F121" s="205"/>
      <c r="G121" s="46"/>
      <c r="H121" s="46"/>
      <c r="I121" s="53"/>
      <c r="J121" s="200"/>
      <c r="K121" s="60">
        <f t="shared" si="336"/>
      </c>
      <c r="L121" s="60">
        <f t="shared" si="337"/>
      </c>
      <c r="M121" s="60">
        <f t="shared" si="338"/>
      </c>
      <c r="N121" s="60">
        <f t="shared" si="339"/>
      </c>
      <c r="O121" s="60">
        <f t="shared" si="340"/>
      </c>
      <c r="P121" s="60">
        <f t="shared" si="341"/>
      </c>
      <c r="Q121" s="60">
        <f t="shared" si="342"/>
      </c>
      <c r="R121" s="60">
        <f t="shared" si="343"/>
      </c>
      <c r="S121" s="60">
        <f t="shared" si="344"/>
      </c>
      <c r="T121" s="60">
        <f t="shared" si="345"/>
      </c>
      <c r="U121" s="60">
        <f t="shared" si="346"/>
      </c>
      <c r="V121" s="61">
        <f t="shared" si="347"/>
      </c>
      <c r="W121" s="61">
        <f aca="true" t="shared" si="372" ref="W121:W128">IF(D121="Lot n°6",C121,"")</f>
      </c>
      <c r="X121" s="61">
        <f aca="true" t="shared" si="373" ref="X121:X128">IF(D121="Lot n°7",C121,"")</f>
      </c>
      <c r="Y121" s="60">
        <f t="shared" si="348"/>
      </c>
      <c r="Z121" s="137">
        <f t="shared" si="349"/>
      </c>
      <c r="AA121" s="135">
        <f t="shared" si="350"/>
      </c>
      <c r="AB121" s="135">
        <f t="shared" si="351"/>
      </c>
      <c r="AC121" s="135">
        <f t="shared" si="352"/>
      </c>
      <c r="AD121" s="135">
        <f t="shared" si="353"/>
      </c>
      <c r="AE121" s="136">
        <f t="shared" si="354"/>
      </c>
      <c r="AF121" s="135">
        <f t="shared" si="355"/>
      </c>
      <c r="AG121" s="123">
        <f t="shared" si="356"/>
      </c>
      <c r="AH121" s="123">
        <f t="shared" si="357"/>
      </c>
      <c r="AI121" s="123">
        <f t="shared" si="358"/>
      </c>
      <c r="AJ121" s="123">
        <f t="shared" si="359"/>
      </c>
      <c r="AK121" s="123">
        <f t="shared" si="360"/>
      </c>
      <c r="AL121" s="123">
        <f t="shared" si="361"/>
      </c>
      <c r="AM121" s="123">
        <f t="shared" si="362"/>
      </c>
      <c r="AN121" s="123">
        <f t="shared" si="363"/>
      </c>
      <c r="AO121" s="123">
        <f t="shared" si="364"/>
      </c>
      <c r="AP121" s="123">
        <f t="shared" si="365"/>
      </c>
      <c r="AQ121" s="123">
        <f t="shared" si="366"/>
      </c>
      <c r="AR121" s="123">
        <f t="shared" si="367"/>
      </c>
      <c r="AS121" s="123">
        <f t="shared" si="368"/>
      </c>
      <c r="AT121" s="93">
        <f t="shared" si="369"/>
      </c>
      <c r="AX121" s="328">
        <f t="shared" si="370"/>
      </c>
      <c r="AY121" s="328">
        <f t="shared" si="371"/>
      </c>
    </row>
    <row r="122" spans="1:51" ht="18" customHeight="1">
      <c r="A122" s="339"/>
      <c r="B122" s="202"/>
      <c r="C122" s="346"/>
      <c r="D122" s="203"/>
      <c r="E122" s="325"/>
      <c r="F122" s="205"/>
      <c r="G122" s="46"/>
      <c r="H122" s="46"/>
      <c r="I122" s="53"/>
      <c r="J122" s="200"/>
      <c r="K122" s="60">
        <f t="shared" si="336"/>
      </c>
      <c r="L122" s="60">
        <f t="shared" si="337"/>
      </c>
      <c r="M122" s="60">
        <f t="shared" si="338"/>
      </c>
      <c r="N122" s="60">
        <f t="shared" si="339"/>
      </c>
      <c r="O122" s="60">
        <f t="shared" si="340"/>
      </c>
      <c r="P122" s="60">
        <f t="shared" si="341"/>
      </c>
      <c r="Q122" s="60">
        <f t="shared" si="342"/>
      </c>
      <c r="R122" s="60">
        <f t="shared" si="343"/>
      </c>
      <c r="S122" s="60">
        <f t="shared" si="344"/>
      </c>
      <c r="T122" s="60">
        <f t="shared" si="345"/>
      </c>
      <c r="U122" s="60">
        <f t="shared" si="346"/>
      </c>
      <c r="V122" s="61">
        <f t="shared" si="347"/>
      </c>
      <c r="W122" s="61">
        <f t="shared" si="372"/>
      </c>
      <c r="X122" s="61">
        <f t="shared" si="373"/>
      </c>
      <c r="Y122" s="60">
        <f t="shared" si="348"/>
      </c>
      <c r="Z122" s="137">
        <f t="shared" si="349"/>
      </c>
      <c r="AA122" s="135">
        <f t="shared" si="350"/>
      </c>
      <c r="AB122" s="135">
        <f t="shared" si="351"/>
      </c>
      <c r="AC122" s="135">
        <f t="shared" si="352"/>
      </c>
      <c r="AD122" s="135">
        <f t="shared" si="353"/>
      </c>
      <c r="AE122" s="136">
        <f t="shared" si="354"/>
      </c>
      <c r="AF122" s="135">
        <f t="shared" si="355"/>
      </c>
      <c r="AG122" s="123">
        <f t="shared" si="356"/>
      </c>
      <c r="AH122" s="123">
        <f t="shared" si="357"/>
      </c>
      <c r="AI122" s="123">
        <f t="shared" si="358"/>
      </c>
      <c r="AJ122" s="123">
        <f t="shared" si="359"/>
      </c>
      <c r="AK122" s="123">
        <f t="shared" si="360"/>
      </c>
      <c r="AL122" s="123">
        <f t="shared" si="361"/>
      </c>
      <c r="AM122" s="123">
        <f t="shared" si="362"/>
      </c>
      <c r="AN122" s="123">
        <f t="shared" si="363"/>
      </c>
      <c r="AO122" s="123">
        <f t="shared" si="364"/>
      </c>
      <c r="AP122" s="123">
        <f t="shared" si="365"/>
      </c>
      <c r="AQ122" s="123">
        <f t="shared" si="366"/>
      </c>
      <c r="AR122" s="123">
        <f t="shared" si="367"/>
      </c>
      <c r="AS122" s="123">
        <f t="shared" si="368"/>
      </c>
      <c r="AT122" s="93">
        <f t="shared" si="369"/>
      </c>
      <c r="AX122" s="328">
        <f t="shared" si="370"/>
      </c>
      <c r="AY122" s="328">
        <f t="shared" si="371"/>
      </c>
    </row>
    <row r="123" spans="1:51" ht="18" customHeight="1">
      <c r="A123" s="339"/>
      <c r="B123" s="202"/>
      <c r="C123" s="346"/>
      <c r="D123" s="203"/>
      <c r="E123" s="325"/>
      <c r="F123" s="205"/>
      <c r="G123" s="46"/>
      <c r="H123" s="46"/>
      <c r="I123" s="53"/>
      <c r="J123" s="200"/>
      <c r="K123" s="60">
        <f t="shared" si="336"/>
      </c>
      <c r="L123" s="60">
        <f t="shared" si="337"/>
      </c>
      <c r="M123" s="60">
        <f t="shared" si="338"/>
      </c>
      <c r="N123" s="60">
        <f t="shared" si="339"/>
      </c>
      <c r="O123" s="60">
        <f t="shared" si="340"/>
      </c>
      <c r="P123" s="60">
        <f t="shared" si="341"/>
      </c>
      <c r="Q123" s="60">
        <f t="shared" si="342"/>
      </c>
      <c r="R123" s="60">
        <f t="shared" si="343"/>
      </c>
      <c r="S123" s="60">
        <f t="shared" si="344"/>
      </c>
      <c r="T123" s="60">
        <f t="shared" si="345"/>
      </c>
      <c r="U123" s="60">
        <f t="shared" si="346"/>
      </c>
      <c r="V123" s="61">
        <f t="shared" si="347"/>
      </c>
      <c r="W123" s="61">
        <f t="shared" si="372"/>
      </c>
      <c r="X123" s="61">
        <f t="shared" si="373"/>
      </c>
      <c r="Y123" s="60">
        <f t="shared" si="348"/>
      </c>
      <c r="Z123" s="137">
        <f t="shared" si="349"/>
      </c>
      <c r="AA123" s="135">
        <f t="shared" si="350"/>
      </c>
      <c r="AB123" s="135">
        <f t="shared" si="351"/>
      </c>
      <c r="AC123" s="135">
        <f t="shared" si="352"/>
      </c>
      <c r="AD123" s="135">
        <f t="shared" si="353"/>
      </c>
      <c r="AE123" s="136">
        <f t="shared" si="354"/>
      </c>
      <c r="AF123" s="135">
        <f t="shared" si="355"/>
      </c>
      <c r="AG123" s="123">
        <f t="shared" si="356"/>
      </c>
      <c r="AH123" s="123">
        <f t="shared" si="357"/>
      </c>
      <c r="AI123" s="123">
        <f t="shared" si="358"/>
      </c>
      <c r="AJ123" s="123">
        <f t="shared" si="359"/>
      </c>
      <c r="AK123" s="123">
        <f t="shared" si="360"/>
      </c>
      <c r="AL123" s="123">
        <f t="shared" si="361"/>
      </c>
      <c r="AM123" s="123">
        <f t="shared" si="362"/>
      </c>
      <c r="AN123" s="123">
        <f t="shared" si="363"/>
      </c>
      <c r="AO123" s="123">
        <f t="shared" si="364"/>
      </c>
      <c r="AP123" s="123">
        <f t="shared" si="365"/>
      </c>
      <c r="AQ123" s="123">
        <f t="shared" si="366"/>
      </c>
      <c r="AR123" s="123">
        <f t="shared" si="367"/>
      </c>
      <c r="AS123" s="123">
        <f t="shared" si="368"/>
      </c>
      <c r="AT123" s="93">
        <f t="shared" si="369"/>
      </c>
      <c r="AX123" s="328">
        <f t="shared" si="370"/>
      </c>
      <c r="AY123" s="328">
        <f t="shared" si="371"/>
      </c>
    </row>
    <row r="124" spans="1:51" ht="18" customHeight="1">
      <c r="A124" s="339"/>
      <c r="B124" s="202"/>
      <c r="C124" s="346"/>
      <c r="D124" s="203"/>
      <c r="E124" s="325"/>
      <c r="F124" s="205"/>
      <c r="G124" s="46"/>
      <c r="H124" s="46"/>
      <c r="I124" s="53"/>
      <c r="J124" s="200"/>
      <c r="K124" s="60">
        <f t="shared" si="336"/>
      </c>
      <c r="L124" s="60">
        <f t="shared" si="337"/>
      </c>
      <c r="M124" s="60">
        <f t="shared" si="338"/>
      </c>
      <c r="N124" s="60">
        <f t="shared" si="339"/>
      </c>
      <c r="O124" s="60">
        <f t="shared" si="340"/>
      </c>
      <c r="P124" s="60">
        <f t="shared" si="341"/>
      </c>
      <c r="Q124" s="60">
        <f t="shared" si="342"/>
      </c>
      <c r="R124" s="60">
        <f t="shared" si="343"/>
      </c>
      <c r="S124" s="60">
        <f t="shared" si="344"/>
      </c>
      <c r="T124" s="60">
        <f t="shared" si="345"/>
      </c>
      <c r="U124" s="60">
        <f t="shared" si="346"/>
      </c>
      <c r="V124" s="61">
        <f t="shared" si="347"/>
      </c>
      <c r="W124" s="61">
        <f t="shared" si="372"/>
      </c>
      <c r="X124" s="61">
        <f t="shared" si="373"/>
      </c>
      <c r="Y124" s="60">
        <f t="shared" si="348"/>
      </c>
      <c r="Z124" s="137">
        <f t="shared" si="349"/>
      </c>
      <c r="AA124" s="135">
        <f t="shared" si="350"/>
      </c>
      <c r="AB124" s="135">
        <f t="shared" si="351"/>
      </c>
      <c r="AC124" s="135">
        <f t="shared" si="352"/>
      </c>
      <c r="AD124" s="135">
        <f t="shared" si="353"/>
      </c>
      <c r="AE124" s="136">
        <f t="shared" si="354"/>
      </c>
      <c r="AF124" s="135">
        <f t="shared" si="355"/>
      </c>
      <c r="AG124" s="123">
        <f t="shared" si="356"/>
      </c>
      <c r="AH124" s="123">
        <f t="shared" si="357"/>
      </c>
      <c r="AI124" s="123">
        <f t="shared" si="358"/>
      </c>
      <c r="AJ124" s="123">
        <f t="shared" si="359"/>
      </c>
      <c r="AK124" s="123">
        <f t="shared" si="360"/>
      </c>
      <c r="AL124" s="123">
        <f t="shared" si="361"/>
      </c>
      <c r="AM124" s="123">
        <f t="shared" si="362"/>
      </c>
      <c r="AN124" s="123">
        <f t="shared" si="363"/>
      </c>
      <c r="AO124" s="123">
        <f t="shared" si="364"/>
      </c>
      <c r="AP124" s="123">
        <f t="shared" si="365"/>
      </c>
      <c r="AQ124" s="123">
        <f t="shared" si="366"/>
      </c>
      <c r="AR124" s="123">
        <f t="shared" si="367"/>
      </c>
      <c r="AS124" s="123">
        <f t="shared" si="368"/>
      </c>
      <c r="AT124" s="93">
        <f t="shared" si="369"/>
      </c>
      <c r="AX124" s="328">
        <f t="shared" si="370"/>
      </c>
      <c r="AY124" s="328">
        <f t="shared" si="371"/>
      </c>
    </row>
    <row r="125" spans="1:51" ht="18" customHeight="1">
      <c r="A125" s="339"/>
      <c r="B125" s="202"/>
      <c r="C125" s="346"/>
      <c r="D125" s="203"/>
      <c r="E125" s="325"/>
      <c r="F125" s="205"/>
      <c r="G125" s="46"/>
      <c r="H125" s="46"/>
      <c r="I125" s="53"/>
      <c r="J125" s="200"/>
      <c r="K125" s="60">
        <f t="shared" si="336"/>
      </c>
      <c r="L125" s="60">
        <f t="shared" si="337"/>
      </c>
      <c r="M125" s="60">
        <f t="shared" si="338"/>
      </c>
      <c r="N125" s="60">
        <f t="shared" si="339"/>
      </c>
      <c r="O125" s="60">
        <f t="shared" si="340"/>
      </c>
      <c r="P125" s="60">
        <f t="shared" si="341"/>
      </c>
      <c r="Q125" s="60">
        <f t="shared" si="342"/>
      </c>
      <c r="R125" s="60">
        <f t="shared" si="343"/>
      </c>
      <c r="S125" s="60">
        <f t="shared" si="344"/>
      </c>
      <c r="T125" s="60">
        <f t="shared" si="345"/>
      </c>
      <c r="U125" s="60">
        <f t="shared" si="346"/>
      </c>
      <c r="V125" s="61">
        <f t="shared" si="347"/>
      </c>
      <c r="W125" s="61">
        <f t="shared" si="372"/>
      </c>
      <c r="X125" s="61">
        <f t="shared" si="373"/>
      </c>
      <c r="Y125" s="60">
        <f t="shared" si="348"/>
      </c>
      <c r="Z125" s="137">
        <f t="shared" si="349"/>
      </c>
      <c r="AA125" s="135">
        <f t="shared" si="350"/>
      </c>
      <c r="AB125" s="135">
        <f t="shared" si="351"/>
      </c>
      <c r="AC125" s="135">
        <f t="shared" si="352"/>
      </c>
      <c r="AD125" s="135">
        <f t="shared" si="353"/>
      </c>
      <c r="AE125" s="136">
        <f t="shared" si="354"/>
      </c>
      <c r="AF125" s="135">
        <f t="shared" si="355"/>
      </c>
      <c r="AG125" s="123">
        <f t="shared" si="356"/>
      </c>
      <c r="AH125" s="123">
        <f t="shared" si="357"/>
      </c>
      <c r="AI125" s="123">
        <f t="shared" si="358"/>
      </c>
      <c r="AJ125" s="123">
        <f t="shared" si="359"/>
      </c>
      <c r="AK125" s="123">
        <f t="shared" si="360"/>
      </c>
      <c r="AL125" s="123">
        <f t="shared" si="361"/>
      </c>
      <c r="AM125" s="123">
        <f t="shared" si="362"/>
      </c>
      <c r="AN125" s="123">
        <f t="shared" si="363"/>
      </c>
      <c r="AO125" s="123">
        <f t="shared" si="364"/>
      </c>
      <c r="AP125" s="123">
        <f t="shared" si="365"/>
      </c>
      <c r="AQ125" s="123">
        <f t="shared" si="366"/>
      </c>
      <c r="AR125" s="123">
        <f t="shared" si="367"/>
      </c>
      <c r="AS125" s="123">
        <f t="shared" si="368"/>
      </c>
      <c r="AT125" s="93">
        <f t="shared" si="369"/>
      </c>
      <c r="AX125" s="328">
        <f t="shared" si="370"/>
      </c>
      <c r="AY125" s="328">
        <f t="shared" si="371"/>
      </c>
    </row>
    <row r="126" spans="1:51" ht="18" customHeight="1">
      <c r="A126" s="339"/>
      <c r="B126" s="202"/>
      <c r="C126" s="346"/>
      <c r="D126" s="203"/>
      <c r="E126" s="325"/>
      <c r="F126" s="206"/>
      <c r="G126" s="46"/>
      <c r="H126" s="46"/>
      <c r="I126" s="53"/>
      <c r="J126" s="200"/>
      <c r="K126" s="60">
        <f t="shared" si="336"/>
      </c>
      <c r="L126" s="60">
        <f t="shared" si="337"/>
      </c>
      <c r="M126" s="60">
        <f t="shared" si="338"/>
      </c>
      <c r="N126" s="60">
        <f t="shared" si="339"/>
      </c>
      <c r="O126" s="60">
        <f t="shared" si="340"/>
      </c>
      <c r="P126" s="60">
        <f t="shared" si="341"/>
      </c>
      <c r="Q126" s="60">
        <f t="shared" si="342"/>
      </c>
      <c r="R126" s="60">
        <f t="shared" si="343"/>
      </c>
      <c r="S126" s="60">
        <f t="shared" si="344"/>
      </c>
      <c r="T126" s="60">
        <f t="shared" si="345"/>
      </c>
      <c r="U126" s="60">
        <f t="shared" si="346"/>
      </c>
      <c r="V126" s="61">
        <f t="shared" si="347"/>
      </c>
      <c r="W126" s="61">
        <f t="shared" si="372"/>
      </c>
      <c r="X126" s="61">
        <f t="shared" si="373"/>
      </c>
      <c r="Y126" s="60">
        <f t="shared" si="348"/>
      </c>
      <c r="Z126" s="137">
        <f t="shared" si="349"/>
      </c>
      <c r="AA126" s="135">
        <f t="shared" si="350"/>
      </c>
      <c r="AB126" s="135">
        <f t="shared" si="351"/>
      </c>
      <c r="AC126" s="135">
        <f t="shared" si="352"/>
      </c>
      <c r="AD126" s="135">
        <f t="shared" si="353"/>
      </c>
      <c r="AE126" s="136">
        <f t="shared" si="354"/>
      </c>
      <c r="AF126" s="135">
        <f t="shared" si="355"/>
      </c>
      <c r="AG126" s="123">
        <f t="shared" si="356"/>
      </c>
      <c r="AH126" s="123">
        <f t="shared" si="357"/>
      </c>
      <c r="AI126" s="123">
        <f t="shared" si="358"/>
      </c>
      <c r="AJ126" s="123">
        <f t="shared" si="359"/>
      </c>
      <c r="AK126" s="123">
        <f t="shared" si="360"/>
      </c>
      <c r="AL126" s="123">
        <f t="shared" si="361"/>
      </c>
      <c r="AM126" s="123">
        <f t="shared" si="362"/>
      </c>
      <c r="AN126" s="123">
        <f t="shared" si="363"/>
      </c>
      <c r="AO126" s="123">
        <f t="shared" si="364"/>
      </c>
      <c r="AP126" s="123">
        <f t="shared" si="365"/>
      </c>
      <c r="AQ126" s="123">
        <f t="shared" si="366"/>
      </c>
      <c r="AR126" s="123">
        <f t="shared" si="367"/>
      </c>
      <c r="AS126" s="123">
        <f t="shared" si="368"/>
      </c>
      <c r="AT126" s="93">
        <f t="shared" si="369"/>
      </c>
      <c r="AX126" s="328">
        <f t="shared" si="370"/>
      </c>
      <c r="AY126" s="328">
        <f t="shared" si="371"/>
      </c>
    </row>
    <row r="127" spans="1:51" ht="18" customHeight="1">
      <c r="A127" s="339"/>
      <c r="B127" s="202"/>
      <c r="C127" s="346"/>
      <c r="D127" s="203"/>
      <c r="E127" s="325"/>
      <c r="F127" s="206"/>
      <c r="G127" s="46"/>
      <c r="H127" s="46"/>
      <c r="I127" s="53"/>
      <c r="J127" s="200"/>
      <c r="K127" s="60">
        <f t="shared" si="336"/>
      </c>
      <c r="L127" s="60">
        <f t="shared" si="337"/>
      </c>
      <c r="M127" s="60">
        <f t="shared" si="338"/>
      </c>
      <c r="N127" s="60">
        <f t="shared" si="339"/>
      </c>
      <c r="O127" s="60">
        <f t="shared" si="340"/>
      </c>
      <c r="P127" s="60">
        <f t="shared" si="341"/>
      </c>
      <c r="Q127" s="60">
        <f t="shared" si="342"/>
      </c>
      <c r="R127" s="60">
        <f t="shared" si="343"/>
      </c>
      <c r="S127" s="60">
        <f t="shared" si="344"/>
      </c>
      <c r="T127" s="60">
        <f t="shared" si="345"/>
      </c>
      <c r="U127" s="60">
        <f t="shared" si="346"/>
      </c>
      <c r="V127" s="61">
        <f t="shared" si="347"/>
      </c>
      <c r="W127" s="61">
        <f t="shared" si="372"/>
      </c>
      <c r="X127" s="61">
        <f t="shared" si="373"/>
      </c>
      <c r="Y127" s="60">
        <f t="shared" si="348"/>
      </c>
      <c r="Z127" s="137">
        <f t="shared" si="349"/>
      </c>
      <c r="AA127" s="135">
        <f t="shared" si="350"/>
      </c>
      <c r="AB127" s="135">
        <f t="shared" si="351"/>
      </c>
      <c r="AC127" s="135">
        <f t="shared" si="352"/>
      </c>
      <c r="AD127" s="135">
        <f t="shared" si="353"/>
      </c>
      <c r="AE127" s="136">
        <f t="shared" si="354"/>
      </c>
      <c r="AF127" s="135">
        <f t="shared" si="355"/>
      </c>
      <c r="AG127" s="123">
        <f t="shared" si="356"/>
      </c>
      <c r="AH127" s="123">
        <f t="shared" si="357"/>
      </c>
      <c r="AI127" s="123">
        <f t="shared" si="358"/>
      </c>
      <c r="AJ127" s="123">
        <f t="shared" si="359"/>
      </c>
      <c r="AK127" s="123">
        <f t="shared" si="360"/>
      </c>
      <c r="AL127" s="123">
        <f t="shared" si="361"/>
      </c>
      <c r="AM127" s="123">
        <f t="shared" si="362"/>
      </c>
      <c r="AN127" s="123">
        <f t="shared" si="363"/>
      </c>
      <c r="AO127" s="123">
        <f t="shared" si="364"/>
      </c>
      <c r="AP127" s="123">
        <f t="shared" si="365"/>
      </c>
      <c r="AQ127" s="123">
        <f t="shared" si="366"/>
      </c>
      <c r="AR127" s="123">
        <f t="shared" si="367"/>
      </c>
      <c r="AS127" s="123">
        <f t="shared" si="368"/>
      </c>
      <c r="AT127" s="93">
        <f t="shared" si="369"/>
      </c>
      <c r="AX127" s="328">
        <f t="shared" si="370"/>
      </c>
      <c r="AY127" s="328">
        <f t="shared" si="371"/>
      </c>
    </row>
    <row r="128" spans="1:51" ht="18" customHeight="1">
      <c r="A128" s="339"/>
      <c r="B128" s="202"/>
      <c r="C128" s="346"/>
      <c r="D128" s="203"/>
      <c r="E128" s="325"/>
      <c r="F128" s="207"/>
      <c r="G128" s="47"/>
      <c r="H128" s="46"/>
      <c r="I128" s="53"/>
      <c r="J128" s="200"/>
      <c r="K128" s="60">
        <f t="shared" si="336"/>
      </c>
      <c r="L128" s="60">
        <f t="shared" si="337"/>
      </c>
      <c r="M128" s="60">
        <f t="shared" si="338"/>
      </c>
      <c r="N128" s="60">
        <f t="shared" si="339"/>
      </c>
      <c r="O128" s="60">
        <f t="shared" si="340"/>
      </c>
      <c r="P128" s="60">
        <f t="shared" si="341"/>
      </c>
      <c r="Q128" s="60">
        <f t="shared" si="342"/>
      </c>
      <c r="R128" s="60">
        <f t="shared" si="343"/>
      </c>
      <c r="S128" s="60">
        <f t="shared" si="344"/>
      </c>
      <c r="T128" s="60">
        <f t="shared" si="345"/>
      </c>
      <c r="U128" s="60">
        <f t="shared" si="346"/>
      </c>
      <c r="V128" s="61">
        <f t="shared" si="347"/>
      </c>
      <c r="W128" s="61">
        <f t="shared" si="372"/>
      </c>
      <c r="X128" s="61">
        <f t="shared" si="373"/>
      </c>
      <c r="Y128" s="60">
        <f t="shared" si="348"/>
      </c>
      <c r="Z128" s="137">
        <f t="shared" si="349"/>
      </c>
      <c r="AA128" s="135">
        <f t="shared" si="350"/>
      </c>
      <c r="AB128" s="135">
        <f t="shared" si="351"/>
      </c>
      <c r="AC128" s="135">
        <f t="shared" si="352"/>
      </c>
      <c r="AD128" s="135">
        <f t="shared" si="353"/>
      </c>
      <c r="AE128" s="136">
        <f t="shared" si="354"/>
      </c>
      <c r="AF128" s="135">
        <f t="shared" si="355"/>
      </c>
      <c r="AG128" s="123">
        <f t="shared" si="356"/>
      </c>
      <c r="AH128" s="123">
        <f t="shared" si="357"/>
      </c>
      <c r="AI128" s="123">
        <f t="shared" si="358"/>
      </c>
      <c r="AJ128" s="123">
        <f t="shared" si="359"/>
      </c>
      <c r="AK128" s="123">
        <f t="shared" si="360"/>
      </c>
      <c r="AL128" s="123">
        <f t="shared" si="361"/>
      </c>
      <c r="AM128" s="123">
        <f t="shared" si="362"/>
      </c>
      <c r="AN128" s="123">
        <f t="shared" si="363"/>
      </c>
      <c r="AO128" s="123">
        <f t="shared" si="364"/>
      </c>
      <c r="AP128" s="123">
        <f t="shared" si="365"/>
      </c>
      <c r="AQ128" s="123">
        <f t="shared" si="366"/>
      </c>
      <c r="AR128" s="123">
        <f t="shared" si="367"/>
      </c>
      <c r="AS128" s="123">
        <f t="shared" si="368"/>
      </c>
      <c r="AT128" s="93">
        <f t="shared" si="369"/>
      </c>
      <c r="AX128" s="328">
        <f t="shared" si="370"/>
      </c>
      <c r="AY128" s="328">
        <f t="shared" si="371"/>
      </c>
    </row>
    <row r="129" spans="1:51" ht="18" customHeight="1">
      <c r="A129" s="40" t="s">
        <v>117</v>
      </c>
      <c r="B129" s="29"/>
      <c r="C129" s="41">
        <f>SUM(C120,C121,C122,C123,C124,C125,C126,C127,C128)</f>
        <v>0</v>
      </c>
      <c r="D129" s="36">
        <f>D116+C129</f>
        <v>0</v>
      </c>
      <c r="E129" s="327"/>
      <c r="F129" s="203"/>
      <c r="G129" s="49">
        <f>'Comptes Lots'!B13+'Comptes Lots'!B36+'Comptes Lots'!B59+'Comptes Lots'!B82+'Comptes Lots'!B105+'Comptes Lots'!B128+'Comptes Lots'!B151+'Comptes Lots'!B174</f>
        <v>0</v>
      </c>
      <c r="H129" s="41">
        <f>H116+'Comptes Lots'!I13+'Comptes Lots'!I36+'Comptes Lots'!I59+'Comptes Lots'!I82+'Comptes Lots'!I105+'Comptes Lots'!I128+'Comptes Lots'!I151+'Comptes Lots'!I174</f>
        <v>0</v>
      </c>
      <c r="I129" s="64"/>
      <c r="J129" s="40" t="s">
        <v>117</v>
      </c>
      <c r="K129" s="41">
        <f aca="true" t="shared" si="374" ref="K129:Q129">SUM(K120,K121,K122,K123,K124,K125,K126,K127,K128)</f>
        <v>0</v>
      </c>
      <c r="L129" s="41">
        <f t="shared" si="374"/>
        <v>0</v>
      </c>
      <c r="M129" s="41">
        <f t="shared" si="374"/>
        <v>0</v>
      </c>
      <c r="N129" s="41">
        <f t="shared" si="374"/>
        <v>0</v>
      </c>
      <c r="O129" s="41">
        <f t="shared" si="374"/>
        <v>0</v>
      </c>
      <c r="P129" s="41">
        <f t="shared" si="374"/>
        <v>0</v>
      </c>
      <c r="Q129" s="41">
        <f t="shared" si="374"/>
        <v>0</v>
      </c>
      <c r="R129" s="41">
        <f aca="true" t="shared" si="375" ref="R129:Y129">SUM(R120,R121,R122,R123,R124,R125,R126,R127,R128)</f>
        <v>0</v>
      </c>
      <c r="S129" s="41">
        <f t="shared" si="375"/>
        <v>0</v>
      </c>
      <c r="T129" s="41">
        <f t="shared" si="375"/>
        <v>0</v>
      </c>
      <c r="U129" s="41">
        <f t="shared" si="375"/>
        <v>0</v>
      </c>
      <c r="V129" s="42">
        <f t="shared" si="375"/>
        <v>0</v>
      </c>
      <c r="W129" s="42">
        <f t="shared" si="375"/>
        <v>0</v>
      </c>
      <c r="X129" s="42">
        <f t="shared" si="375"/>
        <v>0</v>
      </c>
      <c r="Y129" s="41">
        <f t="shared" si="375"/>
        <v>0</v>
      </c>
      <c r="Z129" s="133">
        <f aca="true" t="shared" si="376" ref="Z129:AT129">SUM(Z120,Z121,Z122,Z123,Z124,Z125,Z126,Z127,Z128)</f>
        <v>0</v>
      </c>
      <c r="AA129" s="133">
        <f t="shared" si="376"/>
        <v>0</v>
      </c>
      <c r="AB129" s="133">
        <f t="shared" si="376"/>
        <v>0</v>
      </c>
      <c r="AC129" s="133">
        <f t="shared" si="376"/>
        <v>0</v>
      </c>
      <c r="AD129" s="133">
        <f t="shared" si="376"/>
        <v>0</v>
      </c>
      <c r="AE129" s="134">
        <f t="shared" si="376"/>
        <v>0</v>
      </c>
      <c r="AF129" s="133">
        <f t="shared" si="376"/>
        <v>0</v>
      </c>
      <c r="AG129" s="133">
        <f t="shared" si="376"/>
        <v>0</v>
      </c>
      <c r="AH129" s="133">
        <f t="shared" si="376"/>
        <v>0</v>
      </c>
      <c r="AI129" s="133">
        <f t="shared" si="376"/>
        <v>0</v>
      </c>
      <c r="AJ129" s="133">
        <f t="shared" si="376"/>
        <v>0</v>
      </c>
      <c r="AK129" s="133">
        <f t="shared" si="376"/>
        <v>0</v>
      </c>
      <c r="AL129" s="133">
        <f t="shared" si="376"/>
        <v>0</v>
      </c>
      <c r="AM129" s="134">
        <f t="shared" si="376"/>
        <v>0</v>
      </c>
      <c r="AN129" s="133">
        <f t="shared" si="376"/>
        <v>0</v>
      </c>
      <c r="AO129" s="133">
        <f t="shared" si="376"/>
        <v>0</v>
      </c>
      <c r="AP129" s="133">
        <f t="shared" si="376"/>
        <v>0</v>
      </c>
      <c r="AQ129" s="133">
        <f t="shared" si="376"/>
        <v>0</v>
      </c>
      <c r="AR129" s="133">
        <f t="shared" si="376"/>
        <v>0</v>
      </c>
      <c r="AS129" s="133">
        <f t="shared" si="376"/>
        <v>0</v>
      </c>
      <c r="AT129" s="133">
        <f t="shared" si="376"/>
        <v>0</v>
      </c>
      <c r="AX129" s="329">
        <f>SUM(AX120,AX121,AX122,AX123,AX124,AX125,AX126,AX127,AX128)</f>
        <v>0</v>
      </c>
      <c r="AY129" s="329">
        <f>SUM(AY120,AY121,AY122,AY123,AY124,AY125,AY126,AY127,AY128)</f>
        <v>0</v>
      </c>
    </row>
    <row r="130" spans="1:25" ht="18" customHeight="1">
      <c r="A130" s="9" t="s">
        <v>438</v>
      </c>
      <c r="H130" s="54">
        <f>H87</f>
        <v>0</v>
      </c>
      <c r="J130" s="9" t="s">
        <v>438</v>
      </c>
      <c r="L130" s="11"/>
      <c r="M130" s="10"/>
      <c r="N130" s="11"/>
      <c r="O130" s="11"/>
      <c r="P130" s="54">
        <f>H130</f>
        <v>0</v>
      </c>
      <c r="Q130" s="9" t="s">
        <v>438</v>
      </c>
      <c r="R130" s="10"/>
      <c r="S130" s="10"/>
      <c r="T130" s="10"/>
      <c r="U130" s="11"/>
      <c r="V130" s="11"/>
      <c r="W130" s="11"/>
      <c r="X130" s="11"/>
      <c r="Y130" s="54">
        <f>H130</f>
        <v>0</v>
      </c>
    </row>
    <row r="131" spans="8:25" ht="18" customHeight="1">
      <c r="H131" s="54">
        <f>H88</f>
        <v>0</v>
      </c>
      <c r="J131" s="11"/>
      <c r="K131" s="11"/>
      <c r="L131" s="11"/>
      <c r="M131" s="10"/>
      <c r="N131" s="11"/>
      <c r="O131" s="11"/>
      <c r="P131" s="54">
        <f>H131</f>
        <v>0</v>
      </c>
      <c r="Q131" s="54"/>
      <c r="R131" s="10"/>
      <c r="S131" s="10"/>
      <c r="T131" s="10"/>
      <c r="U131" s="11"/>
      <c r="V131" s="11"/>
      <c r="W131" s="11"/>
      <c r="X131" s="11"/>
      <c r="Y131" s="54">
        <f>H131</f>
        <v>0</v>
      </c>
    </row>
    <row r="132" spans="1:25" ht="18" customHeight="1">
      <c r="A132" s="10" t="str">
        <f>A89</f>
        <v>Exercice 2015</v>
      </c>
      <c r="J132" s="62" t="str">
        <f>A132</f>
        <v>Exercice 2015</v>
      </c>
      <c r="K132" s="11"/>
      <c r="L132" s="11"/>
      <c r="M132" s="11"/>
      <c r="N132" s="11"/>
      <c r="O132" s="11"/>
      <c r="P132" s="11"/>
      <c r="Q132" s="62" t="str">
        <f>A132</f>
        <v>Exercice 2015</v>
      </c>
      <c r="R132" s="10"/>
      <c r="S132" s="11"/>
      <c r="T132" s="10"/>
      <c r="U132" s="11"/>
      <c r="V132" s="11"/>
      <c r="W132" s="11"/>
      <c r="X132" s="11"/>
      <c r="Y132" s="11"/>
    </row>
    <row r="133" spans="1:25" ht="18" customHeight="1">
      <c r="A133" s="10" t="s">
        <v>101</v>
      </c>
      <c r="H133" s="54"/>
      <c r="J133" s="10" t="s">
        <v>101</v>
      </c>
      <c r="Q133" s="10" t="s">
        <v>101</v>
      </c>
      <c r="Y133" s="54"/>
    </row>
    <row r="134" spans="4:25" ht="18" customHeight="1">
      <c r="D134" s="54" t="s">
        <v>410</v>
      </c>
      <c r="E134" s="54"/>
      <c r="F134" s="68">
        <f>F129</f>
        <v>0</v>
      </c>
      <c r="G134" s="68">
        <f>G129</f>
        <v>0</v>
      </c>
      <c r="H134" s="68">
        <f>H129</f>
        <v>0</v>
      </c>
      <c r="O134" s="11"/>
      <c r="P134" s="11"/>
      <c r="Q134" s="11"/>
      <c r="Y134" s="11"/>
    </row>
    <row r="135" spans="1:51" ht="18" customHeight="1">
      <c r="A135" s="39" t="s">
        <v>58</v>
      </c>
      <c r="B135" s="15"/>
      <c r="C135" s="15"/>
      <c r="D135" s="39"/>
      <c r="E135" s="39"/>
      <c r="F135" s="39" t="s">
        <v>324</v>
      </c>
      <c r="G135" s="15"/>
      <c r="H135" s="15"/>
      <c r="I135" s="52"/>
      <c r="J135" s="39" t="s">
        <v>58</v>
      </c>
      <c r="K135" s="39" t="s">
        <v>116</v>
      </c>
      <c r="L135" s="39"/>
      <c r="M135" s="15"/>
      <c r="N135" s="15"/>
      <c r="O135" s="14"/>
      <c r="P135" s="14"/>
      <c r="Q135" s="16"/>
      <c r="R135" s="39" t="s">
        <v>346</v>
      </c>
      <c r="S135" s="15"/>
      <c r="T135" s="15"/>
      <c r="U135" s="15"/>
      <c r="V135" s="14"/>
      <c r="W135" s="14"/>
      <c r="X135" s="14"/>
      <c r="Y135" s="16"/>
      <c r="Z135" s="127" t="s">
        <v>134</v>
      </c>
      <c r="AA135" s="128" t="s">
        <v>70</v>
      </c>
      <c r="AB135" s="103"/>
      <c r="AC135" s="103"/>
      <c r="AD135" s="103"/>
      <c r="AE135" s="129"/>
      <c r="AF135" s="129"/>
      <c r="AG135" s="92"/>
      <c r="AH135" s="92"/>
      <c r="AI135" s="92"/>
      <c r="AJ135" s="92"/>
      <c r="AK135" s="92"/>
      <c r="AL135" s="92"/>
      <c r="AM135" s="92"/>
      <c r="AN135" s="92"/>
      <c r="AO135" s="92"/>
      <c r="AP135" s="92"/>
      <c r="AQ135" s="92"/>
      <c r="AR135" s="92"/>
      <c r="AS135" s="95"/>
      <c r="AT135" s="95"/>
      <c r="AX135" s="93" t="s">
        <v>221</v>
      </c>
      <c r="AY135" s="93"/>
    </row>
    <row r="136" spans="1:51" ht="18" customHeight="1">
      <c r="A136" s="19" t="s">
        <v>292</v>
      </c>
      <c r="B136" s="19" t="s">
        <v>305</v>
      </c>
      <c r="C136" s="19" t="s">
        <v>320</v>
      </c>
      <c r="D136" s="35" t="s">
        <v>118</v>
      </c>
      <c r="E136" s="35" t="s">
        <v>326</v>
      </c>
      <c r="F136" s="35" t="s">
        <v>321</v>
      </c>
      <c r="G136" s="48" t="s">
        <v>323</v>
      </c>
      <c r="H136" s="43" t="s">
        <v>322</v>
      </c>
      <c r="I136" s="52"/>
      <c r="J136" s="19" t="s">
        <v>134</v>
      </c>
      <c r="K136" s="19" t="str">
        <f aca="true" t="shared" si="377" ref="K136:Q136">K93</f>
        <v>Générales</v>
      </c>
      <c r="L136" s="19" t="str">
        <f t="shared" si="377"/>
        <v>Escalier</v>
      </c>
      <c r="M136" s="19" t="str">
        <f t="shared" si="377"/>
        <v>Eau</v>
      </c>
      <c r="N136" s="19" t="str">
        <f t="shared" si="377"/>
        <v>Charge1</v>
      </c>
      <c r="O136" s="34" t="str">
        <f t="shared" si="377"/>
        <v>Charge2</v>
      </c>
      <c r="P136" s="34" t="str">
        <f t="shared" si="377"/>
        <v>Travaux</v>
      </c>
      <c r="Q136" s="19" t="str">
        <f t="shared" si="377"/>
        <v>Provision</v>
      </c>
      <c r="R136" s="19" t="s">
        <v>52</v>
      </c>
      <c r="S136" s="19" t="s">
        <v>408</v>
      </c>
      <c r="T136" s="19" t="s">
        <v>53</v>
      </c>
      <c r="U136" s="19" t="s">
        <v>300</v>
      </c>
      <c r="V136" s="13" t="s">
        <v>209</v>
      </c>
      <c r="W136" s="13" t="s">
        <v>469</v>
      </c>
      <c r="X136" s="13" t="s">
        <v>470</v>
      </c>
      <c r="Y136" s="34" t="s">
        <v>43</v>
      </c>
      <c r="Z136" s="130">
        <v>60</v>
      </c>
      <c r="AA136" s="130">
        <v>61</v>
      </c>
      <c r="AB136" s="130">
        <v>62</v>
      </c>
      <c r="AC136" s="130">
        <v>63</v>
      </c>
      <c r="AD136" s="130">
        <v>64</v>
      </c>
      <c r="AE136" s="131">
        <v>66</v>
      </c>
      <c r="AF136" s="132">
        <v>661</v>
      </c>
      <c r="AG136" s="138">
        <v>671</v>
      </c>
      <c r="AH136" s="132">
        <v>672</v>
      </c>
      <c r="AI136" s="132">
        <v>673</v>
      </c>
      <c r="AJ136" s="132">
        <v>677</v>
      </c>
      <c r="AK136" s="132">
        <v>68</v>
      </c>
      <c r="AL136" s="132">
        <v>701</v>
      </c>
      <c r="AM136" s="132">
        <v>702</v>
      </c>
      <c r="AN136" s="132">
        <v>703</v>
      </c>
      <c r="AO136" s="132">
        <v>704</v>
      </c>
      <c r="AP136" s="132">
        <v>711</v>
      </c>
      <c r="AQ136" s="132">
        <v>712</v>
      </c>
      <c r="AR136" s="132">
        <v>713</v>
      </c>
      <c r="AS136" s="132">
        <v>714</v>
      </c>
      <c r="AT136" s="130">
        <v>78</v>
      </c>
      <c r="AX136" s="93" t="s">
        <v>442</v>
      </c>
      <c r="AY136" s="93" t="s">
        <v>303</v>
      </c>
    </row>
    <row r="137" spans="1:51" ht="18" customHeight="1">
      <c r="A137" s="339"/>
      <c r="B137" s="202"/>
      <c r="C137" s="346"/>
      <c r="D137" s="203"/>
      <c r="E137" s="325"/>
      <c r="F137" s="204"/>
      <c r="G137" s="45"/>
      <c r="H137" s="45"/>
      <c r="I137" s="53"/>
      <c r="J137" s="200"/>
      <c r="K137" s="60">
        <f aca="true" t="shared" si="378" ref="K137:K145">IF(D137="Générales",C137,"")</f>
      </c>
      <c r="L137" s="60">
        <f aca="true" t="shared" si="379" ref="L137:L145">IF(D137="Escalier",C137,"")</f>
      </c>
      <c r="M137" s="60">
        <f aca="true" t="shared" si="380" ref="M137:M145">IF(D137="Eau",C137,"")</f>
      </c>
      <c r="N137" s="60">
        <f aca="true" t="shared" si="381" ref="N137:N145">IF(D137="Spéciales1",C137,"")</f>
      </c>
      <c r="O137" s="60">
        <f aca="true" t="shared" si="382" ref="O137:O145">IF(D137="Spéciales2",C137,"")</f>
      </c>
      <c r="P137" s="60">
        <f aca="true" t="shared" si="383" ref="P137:P145">IF(D137="Travaux",C137,"")</f>
      </c>
      <c r="Q137" s="60">
        <f aca="true" t="shared" si="384" ref="Q137:Q145">IF(D137="Provision",C137,"")</f>
      </c>
      <c r="R137" s="60">
        <f aca="true" t="shared" si="385" ref="R137:R145">IF(D137="Lot n°1",C137,"")</f>
      </c>
      <c r="S137" s="60">
        <f aca="true" t="shared" si="386" ref="S137:S145">IF(D137="Lot n°2",C137,"")</f>
      </c>
      <c r="T137" s="60">
        <f aca="true" t="shared" si="387" ref="T137:T145">IF(D137="Lot n°3",C137,"")</f>
      </c>
      <c r="U137" s="60">
        <f aca="true" t="shared" si="388" ref="U137:U145">IF(D137="Lot n°4",C137,"")</f>
      </c>
      <c r="V137" s="61">
        <f>IF(D137="Lot n°5",C137,"")</f>
      </c>
      <c r="W137" s="61">
        <f>IF(D137="Lot n°6",C137,"")</f>
      </c>
      <c r="X137" s="61">
        <f>IF(D137="Lot n°7",C137,"")</f>
      </c>
      <c r="Y137" s="60">
        <f aca="true" t="shared" si="389" ref="Y137:Y145">IF(D137="Lot n°M",C137,"")</f>
      </c>
      <c r="Z137" s="137">
        <f aca="true" t="shared" si="390" ref="Z137:Z145">IF(J137="60 Achat de matières et fournitures",C137,"")</f>
      </c>
      <c r="AA137" s="135">
        <f aca="true" t="shared" si="391" ref="AA137:AA145">IF(J137="61 Services extérieurs",C137,"")</f>
      </c>
      <c r="AB137" s="135">
        <f aca="true" t="shared" si="392" ref="AB137:AB145">IF(J137="62 Frais d'administration et honoraires",C137,"")</f>
      </c>
      <c r="AC137" s="135">
        <f aca="true" t="shared" si="393" ref="AC137:AC145">IF(J137="63 Impôts - taxes et versements assimilés",C137,"")</f>
      </c>
      <c r="AD137" s="135">
        <f aca="true" t="shared" si="394" ref="AD137:AD145">IF(J137="64 Frais de personnel",C137,"")</f>
      </c>
      <c r="AE137" s="136">
        <f aca="true" t="shared" si="395" ref="AE137:AE145">IF(J137="66 Charges financières des emprunts, agios",C137,"")</f>
      </c>
      <c r="AF137" s="135">
        <f aca="true" t="shared" si="396" ref="AF137:AF145">IF(J137="661 Rembourcement d'annuités d'emprunt",C137,"")</f>
      </c>
      <c r="AG137" s="123">
        <f aca="true" t="shared" si="397" ref="AG137:AG145">IF(J137="671 Travaux décidés par l'AG",C137,"")</f>
      </c>
      <c r="AH137" s="123">
        <f aca="true" t="shared" si="398" ref="AH137:AH145">IF(J137="672 Travaux urgents",C137,"")</f>
      </c>
      <c r="AI137" s="123">
        <f aca="true" t="shared" si="399" ref="AI137:AI145">IF(J137="673 Etudes techniques, diagnostic",C137,"")</f>
      </c>
      <c r="AJ137" s="123">
        <f aca="true" t="shared" si="400" ref="AJ137:AJ145">IF(J137="677 Pertes sur créances irrécouvrables",C137,"")</f>
      </c>
      <c r="AK137" s="123">
        <f aca="true" t="shared" si="401" ref="AK137:AK145">IF(J137="68 Dotations aux dépréciations sur créances douteuses",C137,"")</f>
      </c>
      <c r="AL137" s="123">
        <f aca="true" t="shared" si="402" ref="AL137:AL145">IF(J137="701 Provisions sur opérations courantes",C137,"")</f>
      </c>
      <c r="AM137" s="123">
        <f aca="true" t="shared" si="403" ref="AM137:AM145">IF(J137="702 Provisions pour travaux",C137,"")</f>
      </c>
      <c r="AN137" s="123">
        <f aca="true" t="shared" si="404" ref="AN137:AN145">IF(J137="703 Avances",C137,"")</f>
      </c>
      <c r="AO137" s="123">
        <f aca="true" t="shared" si="405" ref="AO137:AO145">IF(J137="704 Rembourcement d'emprunt",C137,"")</f>
      </c>
      <c r="AP137" s="123">
        <f aca="true" t="shared" si="406" ref="AP137:AP145">IF(J137="711 Subventions sur travaux",C137,"")</f>
      </c>
      <c r="AQ137" s="123">
        <f aca="true" t="shared" si="407" ref="AQ137:AQ145">IF(J137="712 Emprunts",C137,"")</f>
      </c>
      <c r="AR137" s="123">
        <f aca="true" t="shared" si="408" ref="AR137:AR145">IF(J137="713 Indemnités d'assurances",C137,"")</f>
      </c>
      <c r="AS137" s="123">
        <f aca="true" t="shared" si="409" ref="AS137:AS145">IF(J137="714 Produits divers",C137,"")</f>
      </c>
      <c r="AT137" s="93">
        <f aca="true" t="shared" si="410" ref="AT137:AT145">IF(J137="78 Reprises de dépréciations sur créance",C137,"")</f>
      </c>
      <c r="AX137" s="328">
        <f aca="true" t="shared" si="411" ref="AX137:AX145">IF(E137="Locataires",K137,"")</f>
      </c>
      <c r="AY137" s="328">
        <f aca="true" t="shared" si="412" ref="AY137:AY145">IF(E137="Locataires",L137,"")</f>
      </c>
    </row>
    <row r="138" spans="1:51" ht="18" customHeight="1">
      <c r="A138" s="339"/>
      <c r="B138" s="202"/>
      <c r="C138" s="346"/>
      <c r="D138" s="203"/>
      <c r="E138" s="325"/>
      <c r="F138" s="205"/>
      <c r="G138" s="46"/>
      <c r="H138" s="46"/>
      <c r="I138" s="53"/>
      <c r="J138" s="200"/>
      <c r="K138" s="60">
        <f t="shared" si="378"/>
      </c>
      <c r="L138" s="60">
        <f t="shared" si="379"/>
      </c>
      <c r="M138" s="60">
        <f t="shared" si="380"/>
      </c>
      <c r="N138" s="60">
        <f t="shared" si="381"/>
      </c>
      <c r="O138" s="60">
        <f t="shared" si="382"/>
      </c>
      <c r="P138" s="60">
        <f t="shared" si="383"/>
      </c>
      <c r="Q138" s="60">
        <f t="shared" si="384"/>
      </c>
      <c r="R138" s="60">
        <f t="shared" si="385"/>
      </c>
      <c r="S138" s="60">
        <f t="shared" si="386"/>
      </c>
      <c r="T138" s="60">
        <f t="shared" si="387"/>
      </c>
      <c r="U138" s="60">
        <f t="shared" si="388"/>
      </c>
      <c r="V138" s="61">
        <f aca="true" t="shared" si="413" ref="V138:V145">IF(D138="Lot n°5",C138,"")</f>
      </c>
      <c r="W138" s="61">
        <f aca="true" t="shared" si="414" ref="W138:W145">IF(D138="Lot n°6",C138,"")</f>
      </c>
      <c r="X138" s="61">
        <f aca="true" t="shared" si="415" ref="X138:X145">IF(D138="Lot n°7",C138,"")</f>
      </c>
      <c r="Y138" s="60">
        <f t="shared" si="389"/>
      </c>
      <c r="Z138" s="137">
        <f t="shared" si="390"/>
      </c>
      <c r="AA138" s="135">
        <f t="shared" si="391"/>
      </c>
      <c r="AB138" s="135">
        <f t="shared" si="392"/>
      </c>
      <c r="AC138" s="135">
        <f t="shared" si="393"/>
      </c>
      <c r="AD138" s="135">
        <f t="shared" si="394"/>
      </c>
      <c r="AE138" s="136">
        <f t="shared" si="395"/>
      </c>
      <c r="AF138" s="135">
        <f t="shared" si="396"/>
      </c>
      <c r="AG138" s="123">
        <f t="shared" si="397"/>
      </c>
      <c r="AH138" s="123">
        <f t="shared" si="398"/>
      </c>
      <c r="AI138" s="123">
        <f t="shared" si="399"/>
      </c>
      <c r="AJ138" s="123">
        <f t="shared" si="400"/>
      </c>
      <c r="AK138" s="123">
        <f t="shared" si="401"/>
      </c>
      <c r="AL138" s="123">
        <f t="shared" si="402"/>
      </c>
      <c r="AM138" s="123">
        <f t="shared" si="403"/>
      </c>
      <c r="AN138" s="123">
        <f t="shared" si="404"/>
      </c>
      <c r="AO138" s="123">
        <f t="shared" si="405"/>
      </c>
      <c r="AP138" s="123">
        <f t="shared" si="406"/>
      </c>
      <c r="AQ138" s="123">
        <f t="shared" si="407"/>
      </c>
      <c r="AR138" s="123">
        <f t="shared" si="408"/>
      </c>
      <c r="AS138" s="123">
        <f t="shared" si="409"/>
      </c>
      <c r="AT138" s="93">
        <f t="shared" si="410"/>
      </c>
      <c r="AX138" s="328">
        <f t="shared" si="411"/>
      </c>
      <c r="AY138" s="328">
        <f t="shared" si="412"/>
      </c>
    </row>
    <row r="139" spans="1:51" ht="18" customHeight="1">
      <c r="A139" s="339"/>
      <c r="B139" s="202"/>
      <c r="C139" s="346"/>
      <c r="D139" s="203"/>
      <c r="E139" s="325"/>
      <c r="F139" s="205"/>
      <c r="G139" s="46"/>
      <c r="H139" s="46"/>
      <c r="I139" s="53"/>
      <c r="J139" s="200"/>
      <c r="K139" s="60">
        <f t="shared" si="378"/>
      </c>
      <c r="L139" s="60">
        <f t="shared" si="379"/>
      </c>
      <c r="M139" s="60">
        <f t="shared" si="380"/>
      </c>
      <c r="N139" s="60">
        <f t="shared" si="381"/>
      </c>
      <c r="O139" s="60">
        <f t="shared" si="382"/>
      </c>
      <c r="P139" s="60">
        <f t="shared" si="383"/>
      </c>
      <c r="Q139" s="60">
        <f t="shared" si="384"/>
      </c>
      <c r="R139" s="60">
        <f t="shared" si="385"/>
      </c>
      <c r="S139" s="60">
        <f t="shared" si="386"/>
      </c>
      <c r="T139" s="60">
        <f t="shared" si="387"/>
      </c>
      <c r="U139" s="60">
        <f t="shared" si="388"/>
      </c>
      <c r="V139" s="61">
        <f t="shared" si="413"/>
      </c>
      <c r="W139" s="61">
        <f t="shared" si="414"/>
      </c>
      <c r="X139" s="61">
        <f t="shared" si="415"/>
      </c>
      <c r="Y139" s="60">
        <f t="shared" si="389"/>
      </c>
      <c r="Z139" s="137">
        <f t="shared" si="390"/>
      </c>
      <c r="AA139" s="135">
        <f t="shared" si="391"/>
      </c>
      <c r="AB139" s="135">
        <f t="shared" si="392"/>
      </c>
      <c r="AC139" s="135">
        <f t="shared" si="393"/>
      </c>
      <c r="AD139" s="135">
        <f t="shared" si="394"/>
      </c>
      <c r="AE139" s="136">
        <f t="shared" si="395"/>
      </c>
      <c r="AF139" s="135">
        <f t="shared" si="396"/>
      </c>
      <c r="AG139" s="123">
        <f t="shared" si="397"/>
      </c>
      <c r="AH139" s="123">
        <f t="shared" si="398"/>
      </c>
      <c r="AI139" s="123">
        <f t="shared" si="399"/>
      </c>
      <c r="AJ139" s="123">
        <f t="shared" si="400"/>
      </c>
      <c r="AK139" s="123">
        <f t="shared" si="401"/>
      </c>
      <c r="AL139" s="123">
        <f t="shared" si="402"/>
      </c>
      <c r="AM139" s="123">
        <f t="shared" si="403"/>
      </c>
      <c r="AN139" s="123">
        <f t="shared" si="404"/>
      </c>
      <c r="AO139" s="123">
        <f t="shared" si="405"/>
      </c>
      <c r="AP139" s="123">
        <f t="shared" si="406"/>
      </c>
      <c r="AQ139" s="123">
        <f t="shared" si="407"/>
      </c>
      <c r="AR139" s="123">
        <f t="shared" si="408"/>
      </c>
      <c r="AS139" s="123">
        <f t="shared" si="409"/>
      </c>
      <c r="AT139" s="93">
        <f t="shared" si="410"/>
      </c>
      <c r="AX139" s="328">
        <f t="shared" si="411"/>
      </c>
      <c r="AY139" s="328">
        <f t="shared" si="412"/>
      </c>
    </row>
    <row r="140" spans="1:51" ht="18" customHeight="1">
      <c r="A140" s="339"/>
      <c r="B140" s="202"/>
      <c r="C140" s="346"/>
      <c r="D140" s="203"/>
      <c r="E140" s="325"/>
      <c r="F140" s="205"/>
      <c r="G140" s="46"/>
      <c r="H140" s="46"/>
      <c r="I140" s="53"/>
      <c r="J140" s="200"/>
      <c r="K140" s="60">
        <f t="shared" si="378"/>
      </c>
      <c r="L140" s="60">
        <f t="shared" si="379"/>
      </c>
      <c r="M140" s="60">
        <f t="shared" si="380"/>
      </c>
      <c r="N140" s="60">
        <f t="shared" si="381"/>
      </c>
      <c r="O140" s="60">
        <f t="shared" si="382"/>
      </c>
      <c r="P140" s="60">
        <f t="shared" si="383"/>
      </c>
      <c r="Q140" s="60">
        <f t="shared" si="384"/>
      </c>
      <c r="R140" s="60">
        <f t="shared" si="385"/>
      </c>
      <c r="S140" s="60">
        <f t="shared" si="386"/>
      </c>
      <c r="T140" s="60">
        <f t="shared" si="387"/>
      </c>
      <c r="U140" s="60">
        <f t="shared" si="388"/>
      </c>
      <c r="V140" s="61">
        <f t="shared" si="413"/>
      </c>
      <c r="W140" s="61">
        <f t="shared" si="414"/>
      </c>
      <c r="X140" s="61">
        <f t="shared" si="415"/>
      </c>
      <c r="Y140" s="60">
        <f t="shared" si="389"/>
      </c>
      <c r="Z140" s="137">
        <f t="shared" si="390"/>
      </c>
      <c r="AA140" s="135">
        <f t="shared" si="391"/>
      </c>
      <c r="AB140" s="135">
        <f t="shared" si="392"/>
      </c>
      <c r="AC140" s="135">
        <f t="shared" si="393"/>
      </c>
      <c r="AD140" s="135">
        <f t="shared" si="394"/>
      </c>
      <c r="AE140" s="136">
        <f t="shared" si="395"/>
      </c>
      <c r="AF140" s="135">
        <f t="shared" si="396"/>
      </c>
      <c r="AG140" s="123">
        <f t="shared" si="397"/>
      </c>
      <c r="AH140" s="123">
        <f t="shared" si="398"/>
      </c>
      <c r="AI140" s="123">
        <f t="shared" si="399"/>
      </c>
      <c r="AJ140" s="123">
        <f t="shared" si="400"/>
      </c>
      <c r="AK140" s="123">
        <f t="shared" si="401"/>
      </c>
      <c r="AL140" s="123">
        <f t="shared" si="402"/>
      </c>
      <c r="AM140" s="123">
        <f t="shared" si="403"/>
      </c>
      <c r="AN140" s="123">
        <f t="shared" si="404"/>
      </c>
      <c r="AO140" s="123">
        <f t="shared" si="405"/>
      </c>
      <c r="AP140" s="123">
        <f t="shared" si="406"/>
      </c>
      <c r="AQ140" s="123">
        <f t="shared" si="407"/>
      </c>
      <c r="AR140" s="123">
        <f t="shared" si="408"/>
      </c>
      <c r="AS140" s="123">
        <f t="shared" si="409"/>
      </c>
      <c r="AT140" s="93">
        <f t="shared" si="410"/>
      </c>
      <c r="AX140" s="328">
        <f t="shared" si="411"/>
      </c>
      <c r="AY140" s="328">
        <f t="shared" si="412"/>
      </c>
    </row>
    <row r="141" spans="1:51" ht="18" customHeight="1">
      <c r="A141" s="339"/>
      <c r="B141" s="202"/>
      <c r="C141" s="346"/>
      <c r="D141" s="203"/>
      <c r="E141" s="325"/>
      <c r="F141" s="206"/>
      <c r="G141" s="46"/>
      <c r="H141" s="46"/>
      <c r="I141" s="53"/>
      <c r="J141" s="200"/>
      <c r="K141" s="60">
        <f t="shared" si="378"/>
      </c>
      <c r="L141" s="60">
        <f t="shared" si="379"/>
      </c>
      <c r="M141" s="60">
        <f t="shared" si="380"/>
      </c>
      <c r="N141" s="60">
        <f t="shared" si="381"/>
      </c>
      <c r="O141" s="60">
        <f t="shared" si="382"/>
      </c>
      <c r="P141" s="60">
        <f t="shared" si="383"/>
      </c>
      <c r="Q141" s="60">
        <f t="shared" si="384"/>
      </c>
      <c r="R141" s="60">
        <f t="shared" si="385"/>
      </c>
      <c r="S141" s="60">
        <f t="shared" si="386"/>
      </c>
      <c r="T141" s="60">
        <f t="shared" si="387"/>
      </c>
      <c r="U141" s="60">
        <f t="shared" si="388"/>
      </c>
      <c r="V141" s="61">
        <f t="shared" si="413"/>
      </c>
      <c r="W141" s="61">
        <f t="shared" si="414"/>
      </c>
      <c r="X141" s="61">
        <f t="shared" si="415"/>
      </c>
      <c r="Y141" s="60">
        <f t="shared" si="389"/>
      </c>
      <c r="Z141" s="137">
        <f t="shared" si="390"/>
      </c>
      <c r="AA141" s="135">
        <f t="shared" si="391"/>
      </c>
      <c r="AB141" s="135">
        <f t="shared" si="392"/>
      </c>
      <c r="AC141" s="135">
        <f t="shared" si="393"/>
      </c>
      <c r="AD141" s="135">
        <f t="shared" si="394"/>
      </c>
      <c r="AE141" s="136">
        <f t="shared" si="395"/>
      </c>
      <c r="AF141" s="135">
        <f t="shared" si="396"/>
      </c>
      <c r="AG141" s="123">
        <f t="shared" si="397"/>
      </c>
      <c r="AH141" s="123">
        <f t="shared" si="398"/>
      </c>
      <c r="AI141" s="123">
        <f t="shared" si="399"/>
      </c>
      <c r="AJ141" s="123">
        <f t="shared" si="400"/>
      </c>
      <c r="AK141" s="123">
        <f t="shared" si="401"/>
      </c>
      <c r="AL141" s="123">
        <f t="shared" si="402"/>
      </c>
      <c r="AM141" s="123">
        <f t="shared" si="403"/>
      </c>
      <c r="AN141" s="123">
        <f t="shared" si="404"/>
      </c>
      <c r="AO141" s="123">
        <f t="shared" si="405"/>
      </c>
      <c r="AP141" s="123">
        <f t="shared" si="406"/>
      </c>
      <c r="AQ141" s="123">
        <f t="shared" si="407"/>
      </c>
      <c r="AR141" s="123">
        <f t="shared" si="408"/>
      </c>
      <c r="AS141" s="123">
        <f t="shared" si="409"/>
      </c>
      <c r="AT141" s="93">
        <f t="shared" si="410"/>
      </c>
      <c r="AX141" s="328">
        <f t="shared" si="411"/>
      </c>
      <c r="AY141" s="328">
        <f t="shared" si="412"/>
      </c>
    </row>
    <row r="142" spans="1:51" ht="18" customHeight="1">
      <c r="A142" s="339"/>
      <c r="B142" s="202"/>
      <c r="C142" s="346"/>
      <c r="D142" s="203"/>
      <c r="E142" s="325"/>
      <c r="F142" s="206"/>
      <c r="G142" s="46"/>
      <c r="H142" s="46"/>
      <c r="I142" s="53"/>
      <c r="J142" s="200"/>
      <c r="K142" s="60">
        <f t="shared" si="378"/>
      </c>
      <c r="L142" s="60">
        <f t="shared" si="379"/>
      </c>
      <c r="M142" s="60">
        <f t="shared" si="380"/>
      </c>
      <c r="N142" s="60">
        <f t="shared" si="381"/>
      </c>
      <c r="O142" s="60">
        <f t="shared" si="382"/>
      </c>
      <c r="P142" s="60">
        <f t="shared" si="383"/>
      </c>
      <c r="Q142" s="60">
        <f t="shared" si="384"/>
      </c>
      <c r="R142" s="60">
        <f t="shared" si="385"/>
      </c>
      <c r="S142" s="60">
        <f t="shared" si="386"/>
      </c>
      <c r="T142" s="60">
        <f t="shared" si="387"/>
      </c>
      <c r="U142" s="60">
        <f t="shared" si="388"/>
      </c>
      <c r="V142" s="61">
        <f t="shared" si="413"/>
      </c>
      <c r="W142" s="61">
        <f t="shared" si="414"/>
      </c>
      <c r="X142" s="61">
        <f t="shared" si="415"/>
      </c>
      <c r="Y142" s="60">
        <f t="shared" si="389"/>
      </c>
      <c r="Z142" s="137">
        <f t="shared" si="390"/>
      </c>
      <c r="AA142" s="135">
        <f t="shared" si="391"/>
      </c>
      <c r="AB142" s="135">
        <f t="shared" si="392"/>
      </c>
      <c r="AC142" s="135">
        <f t="shared" si="393"/>
      </c>
      <c r="AD142" s="135">
        <f t="shared" si="394"/>
      </c>
      <c r="AE142" s="136">
        <f t="shared" si="395"/>
      </c>
      <c r="AF142" s="135">
        <f t="shared" si="396"/>
      </c>
      <c r="AG142" s="123">
        <f t="shared" si="397"/>
      </c>
      <c r="AH142" s="123">
        <f t="shared" si="398"/>
      </c>
      <c r="AI142" s="123">
        <f t="shared" si="399"/>
      </c>
      <c r="AJ142" s="123">
        <f t="shared" si="400"/>
      </c>
      <c r="AK142" s="123">
        <f t="shared" si="401"/>
      </c>
      <c r="AL142" s="123">
        <f t="shared" si="402"/>
      </c>
      <c r="AM142" s="123">
        <f t="shared" si="403"/>
      </c>
      <c r="AN142" s="123">
        <f t="shared" si="404"/>
      </c>
      <c r="AO142" s="123">
        <f t="shared" si="405"/>
      </c>
      <c r="AP142" s="123">
        <f t="shared" si="406"/>
      </c>
      <c r="AQ142" s="123">
        <f t="shared" si="407"/>
      </c>
      <c r="AR142" s="123">
        <f t="shared" si="408"/>
      </c>
      <c r="AS142" s="123">
        <f t="shared" si="409"/>
      </c>
      <c r="AT142" s="93">
        <f t="shared" si="410"/>
      </c>
      <c r="AX142" s="328">
        <f t="shared" si="411"/>
      </c>
      <c r="AY142" s="328">
        <f t="shared" si="412"/>
      </c>
    </row>
    <row r="143" spans="1:51" ht="18" customHeight="1">
      <c r="A143" s="339"/>
      <c r="B143" s="202"/>
      <c r="C143" s="346"/>
      <c r="D143" s="203"/>
      <c r="E143" s="325"/>
      <c r="F143" s="206"/>
      <c r="G143" s="46"/>
      <c r="H143" s="46"/>
      <c r="I143" s="53"/>
      <c r="J143" s="200"/>
      <c r="K143" s="60">
        <f t="shared" si="378"/>
      </c>
      <c r="L143" s="60">
        <f t="shared" si="379"/>
      </c>
      <c r="M143" s="60">
        <f t="shared" si="380"/>
      </c>
      <c r="N143" s="60">
        <f t="shared" si="381"/>
      </c>
      <c r="O143" s="60">
        <f t="shared" si="382"/>
      </c>
      <c r="P143" s="60">
        <f t="shared" si="383"/>
      </c>
      <c r="Q143" s="60">
        <f t="shared" si="384"/>
      </c>
      <c r="R143" s="60">
        <f t="shared" si="385"/>
      </c>
      <c r="S143" s="60">
        <f t="shared" si="386"/>
      </c>
      <c r="T143" s="60">
        <f t="shared" si="387"/>
      </c>
      <c r="U143" s="60">
        <f t="shared" si="388"/>
      </c>
      <c r="V143" s="61">
        <f t="shared" si="413"/>
      </c>
      <c r="W143" s="61">
        <f t="shared" si="414"/>
      </c>
      <c r="X143" s="61">
        <f t="shared" si="415"/>
      </c>
      <c r="Y143" s="60">
        <f t="shared" si="389"/>
      </c>
      <c r="Z143" s="137">
        <f t="shared" si="390"/>
      </c>
      <c r="AA143" s="135">
        <f t="shared" si="391"/>
      </c>
      <c r="AB143" s="135">
        <f t="shared" si="392"/>
      </c>
      <c r="AC143" s="135">
        <f t="shared" si="393"/>
      </c>
      <c r="AD143" s="135">
        <f t="shared" si="394"/>
      </c>
      <c r="AE143" s="136">
        <f t="shared" si="395"/>
      </c>
      <c r="AF143" s="135">
        <f t="shared" si="396"/>
      </c>
      <c r="AG143" s="123">
        <f t="shared" si="397"/>
      </c>
      <c r="AH143" s="123">
        <f t="shared" si="398"/>
      </c>
      <c r="AI143" s="123">
        <f t="shared" si="399"/>
      </c>
      <c r="AJ143" s="123">
        <f t="shared" si="400"/>
      </c>
      <c r="AK143" s="123">
        <f t="shared" si="401"/>
      </c>
      <c r="AL143" s="123">
        <f t="shared" si="402"/>
      </c>
      <c r="AM143" s="123">
        <f t="shared" si="403"/>
      </c>
      <c r="AN143" s="123">
        <f t="shared" si="404"/>
      </c>
      <c r="AO143" s="123">
        <f t="shared" si="405"/>
      </c>
      <c r="AP143" s="123">
        <f t="shared" si="406"/>
      </c>
      <c r="AQ143" s="123">
        <f t="shared" si="407"/>
      </c>
      <c r="AR143" s="123">
        <f t="shared" si="408"/>
      </c>
      <c r="AS143" s="123">
        <f t="shared" si="409"/>
      </c>
      <c r="AT143" s="93">
        <f t="shared" si="410"/>
      </c>
      <c r="AX143" s="328">
        <f t="shared" si="411"/>
      </c>
      <c r="AY143" s="328">
        <f t="shared" si="412"/>
      </c>
    </row>
    <row r="144" spans="1:51" ht="18" customHeight="1">
      <c r="A144" s="339"/>
      <c r="B144" s="202"/>
      <c r="C144" s="346"/>
      <c r="D144" s="203"/>
      <c r="E144" s="325"/>
      <c r="F144" s="206"/>
      <c r="G144" s="46"/>
      <c r="H144" s="46"/>
      <c r="I144" s="53"/>
      <c r="J144" s="200"/>
      <c r="K144" s="60">
        <f t="shared" si="378"/>
      </c>
      <c r="L144" s="60">
        <f t="shared" si="379"/>
      </c>
      <c r="M144" s="60">
        <f t="shared" si="380"/>
      </c>
      <c r="N144" s="60">
        <f t="shared" si="381"/>
      </c>
      <c r="O144" s="60">
        <f t="shared" si="382"/>
      </c>
      <c r="P144" s="60">
        <f t="shared" si="383"/>
      </c>
      <c r="Q144" s="60">
        <f t="shared" si="384"/>
      </c>
      <c r="R144" s="60">
        <f t="shared" si="385"/>
      </c>
      <c r="S144" s="60">
        <f t="shared" si="386"/>
      </c>
      <c r="T144" s="60">
        <f t="shared" si="387"/>
      </c>
      <c r="U144" s="60">
        <f t="shared" si="388"/>
      </c>
      <c r="V144" s="61">
        <f t="shared" si="413"/>
      </c>
      <c r="W144" s="61">
        <f t="shared" si="414"/>
      </c>
      <c r="X144" s="61">
        <f t="shared" si="415"/>
      </c>
      <c r="Y144" s="60">
        <f t="shared" si="389"/>
      </c>
      <c r="Z144" s="137">
        <f t="shared" si="390"/>
      </c>
      <c r="AA144" s="135">
        <f t="shared" si="391"/>
      </c>
      <c r="AB144" s="135">
        <f t="shared" si="392"/>
      </c>
      <c r="AC144" s="135">
        <f t="shared" si="393"/>
      </c>
      <c r="AD144" s="135">
        <f t="shared" si="394"/>
      </c>
      <c r="AE144" s="136">
        <f t="shared" si="395"/>
      </c>
      <c r="AF144" s="135">
        <f t="shared" si="396"/>
      </c>
      <c r="AG144" s="123">
        <f t="shared" si="397"/>
      </c>
      <c r="AH144" s="123">
        <f t="shared" si="398"/>
      </c>
      <c r="AI144" s="123">
        <f t="shared" si="399"/>
      </c>
      <c r="AJ144" s="123">
        <f t="shared" si="400"/>
      </c>
      <c r="AK144" s="123">
        <f t="shared" si="401"/>
      </c>
      <c r="AL144" s="123">
        <f t="shared" si="402"/>
      </c>
      <c r="AM144" s="123">
        <f t="shared" si="403"/>
      </c>
      <c r="AN144" s="123">
        <f t="shared" si="404"/>
      </c>
      <c r="AO144" s="123">
        <f t="shared" si="405"/>
      </c>
      <c r="AP144" s="123">
        <f t="shared" si="406"/>
      </c>
      <c r="AQ144" s="123">
        <f t="shared" si="407"/>
      </c>
      <c r="AR144" s="123">
        <f t="shared" si="408"/>
      </c>
      <c r="AS144" s="123">
        <f t="shared" si="409"/>
      </c>
      <c r="AT144" s="93">
        <f t="shared" si="410"/>
      </c>
      <c r="AX144" s="328">
        <f t="shared" si="411"/>
      </c>
      <c r="AY144" s="328">
        <f t="shared" si="412"/>
      </c>
    </row>
    <row r="145" spans="1:51" ht="18" customHeight="1">
      <c r="A145" s="339"/>
      <c r="B145" s="202"/>
      <c r="C145" s="346"/>
      <c r="D145" s="203"/>
      <c r="E145" s="325"/>
      <c r="F145" s="207"/>
      <c r="G145" s="47"/>
      <c r="H145" s="46"/>
      <c r="I145" s="53"/>
      <c r="J145" s="200"/>
      <c r="K145" s="60">
        <f t="shared" si="378"/>
      </c>
      <c r="L145" s="60">
        <f t="shared" si="379"/>
      </c>
      <c r="M145" s="60">
        <f t="shared" si="380"/>
      </c>
      <c r="N145" s="60">
        <f t="shared" si="381"/>
      </c>
      <c r="O145" s="60">
        <f t="shared" si="382"/>
      </c>
      <c r="P145" s="60">
        <f t="shared" si="383"/>
      </c>
      <c r="Q145" s="60">
        <f t="shared" si="384"/>
      </c>
      <c r="R145" s="60">
        <f t="shared" si="385"/>
      </c>
      <c r="S145" s="60">
        <f t="shared" si="386"/>
      </c>
      <c r="T145" s="60">
        <f t="shared" si="387"/>
      </c>
      <c r="U145" s="60">
        <f t="shared" si="388"/>
      </c>
      <c r="V145" s="61">
        <f t="shared" si="413"/>
      </c>
      <c r="W145" s="61">
        <f t="shared" si="414"/>
      </c>
      <c r="X145" s="61">
        <f t="shared" si="415"/>
      </c>
      <c r="Y145" s="60">
        <f t="shared" si="389"/>
      </c>
      <c r="Z145" s="137">
        <f t="shared" si="390"/>
      </c>
      <c r="AA145" s="135">
        <f t="shared" si="391"/>
      </c>
      <c r="AB145" s="135">
        <f t="shared" si="392"/>
      </c>
      <c r="AC145" s="135">
        <f t="shared" si="393"/>
      </c>
      <c r="AD145" s="135">
        <f t="shared" si="394"/>
      </c>
      <c r="AE145" s="136">
        <f t="shared" si="395"/>
      </c>
      <c r="AF145" s="135">
        <f t="shared" si="396"/>
      </c>
      <c r="AG145" s="123">
        <f t="shared" si="397"/>
      </c>
      <c r="AH145" s="123">
        <f t="shared" si="398"/>
      </c>
      <c r="AI145" s="123">
        <f t="shared" si="399"/>
      </c>
      <c r="AJ145" s="123">
        <f t="shared" si="400"/>
      </c>
      <c r="AK145" s="123">
        <f t="shared" si="401"/>
      </c>
      <c r="AL145" s="123">
        <f t="shared" si="402"/>
      </c>
      <c r="AM145" s="123">
        <f t="shared" si="403"/>
      </c>
      <c r="AN145" s="123">
        <f t="shared" si="404"/>
      </c>
      <c r="AO145" s="123">
        <f t="shared" si="405"/>
      </c>
      <c r="AP145" s="123">
        <f t="shared" si="406"/>
      </c>
      <c r="AQ145" s="123">
        <f t="shared" si="407"/>
      </c>
      <c r="AR145" s="123">
        <f t="shared" si="408"/>
      </c>
      <c r="AS145" s="123">
        <f t="shared" si="409"/>
      </c>
      <c r="AT145" s="93">
        <f t="shared" si="410"/>
      </c>
      <c r="AX145" s="328">
        <f t="shared" si="411"/>
      </c>
      <c r="AY145" s="328">
        <f t="shared" si="412"/>
      </c>
    </row>
    <row r="146" spans="1:51" ht="18" customHeight="1">
      <c r="A146" s="40" t="s">
        <v>117</v>
      </c>
      <c r="B146" s="29"/>
      <c r="C146" s="41">
        <f>SUM(C137,C138,C139,C140,C141,C142,C143,C144,C145)</f>
        <v>0</v>
      </c>
      <c r="D146" s="36">
        <f>D129+C146</f>
        <v>0</v>
      </c>
      <c r="E146" s="327"/>
      <c r="F146" s="203"/>
      <c r="G146" s="49">
        <f>'Comptes Lots'!B14+'Comptes Lots'!B37+'Comptes Lots'!B60+'Comptes Lots'!B83+'Comptes Lots'!B106+'Comptes Lots'!B129+'Comptes Lots'!B152+'Comptes Lots'!B175</f>
        <v>0</v>
      </c>
      <c r="H146" s="41">
        <f>H134+'Comptes Lots'!I14+'Comptes Lots'!I37+'Comptes Lots'!I60+'Comptes Lots'!I83+'Comptes Lots'!I106+'Comptes Lots'!I129+'Comptes Lots'!I152+'Comptes Lots'!I175</f>
        <v>0</v>
      </c>
      <c r="I146" s="64"/>
      <c r="J146" s="40" t="s">
        <v>117</v>
      </c>
      <c r="K146" s="41">
        <f aca="true" t="shared" si="416" ref="K146:Q146">SUM(K137,K138,K139,K140,K141,K142,K143,K144,K145)</f>
        <v>0</v>
      </c>
      <c r="L146" s="41">
        <f t="shared" si="416"/>
        <v>0</v>
      </c>
      <c r="M146" s="41">
        <f t="shared" si="416"/>
        <v>0</v>
      </c>
      <c r="N146" s="41">
        <f t="shared" si="416"/>
        <v>0</v>
      </c>
      <c r="O146" s="41">
        <f t="shared" si="416"/>
        <v>0</v>
      </c>
      <c r="P146" s="41">
        <f t="shared" si="416"/>
        <v>0</v>
      </c>
      <c r="Q146" s="41">
        <f t="shared" si="416"/>
        <v>0</v>
      </c>
      <c r="R146" s="41">
        <f aca="true" t="shared" si="417" ref="R146:Y146">SUM(R137,R138,R139,R140,R141,R142,R143,R144,R145)</f>
        <v>0</v>
      </c>
      <c r="S146" s="41">
        <f t="shared" si="417"/>
        <v>0</v>
      </c>
      <c r="T146" s="41">
        <f t="shared" si="417"/>
        <v>0</v>
      </c>
      <c r="U146" s="41">
        <f t="shared" si="417"/>
        <v>0</v>
      </c>
      <c r="V146" s="42">
        <f t="shared" si="417"/>
        <v>0</v>
      </c>
      <c r="W146" s="42">
        <f t="shared" si="417"/>
        <v>0</v>
      </c>
      <c r="X146" s="42">
        <f t="shared" si="417"/>
        <v>0</v>
      </c>
      <c r="Y146" s="41">
        <f t="shared" si="417"/>
        <v>0</v>
      </c>
      <c r="Z146" s="133">
        <f aca="true" t="shared" si="418" ref="Z146:AT146">SUM(Z137,Z138,Z139,Z140,Z141,Z142,Z143,Z144,Z145)</f>
        <v>0</v>
      </c>
      <c r="AA146" s="133">
        <f t="shared" si="418"/>
        <v>0</v>
      </c>
      <c r="AB146" s="133">
        <f t="shared" si="418"/>
        <v>0</v>
      </c>
      <c r="AC146" s="133">
        <f t="shared" si="418"/>
        <v>0</v>
      </c>
      <c r="AD146" s="133">
        <f t="shared" si="418"/>
        <v>0</v>
      </c>
      <c r="AE146" s="134">
        <f t="shared" si="418"/>
        <v>0</v>
      </c>
      <c r="AF146" s="133">
        <f t="shared" si="418"/>
        <v>0</v>
      </c>
      <c r="AG146" s="133">
        <f t="shared" si="418"/>
        <v>0</v>
      </c>
      <c r="AH146" s="133">
        <f t="shared" si="418"/>
        <v>0</v>
      </c>
      <c r="AI146" s="133">
        <f t="shared" si="418"/>
        <v>0</v>
      </c>
      <c r="AJ146" s="133">
        <f t="shared" si="418"/>
        <v>0</v>
      </c>
      <c r="AK146" s="133">
        <f t="shared" si="418"/>
        <v>0</v>
      </c>
      <c r="AL146" s="133">
        <f t="shared" si="418"/>
        <v>0</v>
      </c>
      <c r="AM146" s="134">
        <f t="shared" si="418"/>
        <v>0</v>
      </c>
      <c r="AN146" s="133">
        <f t="shared" si="418"/>
        <v>0</v>
      </c>
      <c r="AO146" s="133">
        <f t="shared" si="418"/>
        <v>0</v>
      </c>
      <c r="AP146" s="133">
        <f t="shared" si="418"/>
        <v>0</v>
      </c>
      <c r="AQ146" s="133">
        <f t="shared" si="418"/>
        <v>0</v>
      </c>
      <c r="AR146" s="133">
        <f t="shared" si="418"/>
        <v>0</v>
      </c>
      <c r="AS146" s="133">
        <f t="shared" si="418"/>
        <v>0</v>
      </c>
      <c r="AT146" s="133">
        <f t="shared" si="418"/>
        <v>0</v>
      </c>
      <c r="AX146" s="329">
        <f>SUM(AX137,AX138,AX139,AX140,AX141,AX142,AX143,AX144,AX145)</f>
        <v>0</v>
      </c>
      <c r="AY146" s="329">
        <f>SUM(AY137,AY138,AY139,AY140,AY141,AY142,AY143,AY144,AY145)</f>
        <v>0</v>
      </c>
    </row>
    <row r="147" spans="1:25" ht="9.75" customHeight="1">
      <c r="A147" s="11"/>
      <c r="B147" s="11"/>
      <c r="C147" s="11"/>
      <c r="D147" s="11"/>
      <c r="E147" s="11"/>
      <c r="F147" s="11"/>
      <c r="G147" s="11"/>
      <c r="H147" s="55"/>
      <c r="I147" s="50"/>
      <c r="J147" s="56"/>
      <c r="K147" s="11"/>
      <c r="L147" s="11"/>
      <c r="M147" s="11"/>
      <c r="N147" s="11"/>
      <c r="O147" s="11"/>
      <c r="P147" s="11"/>
      <c r="Q147" s="11"/>
      <c r="R147" s="11"/>
      <c r="S147" s="11"/>
      <c r="T147" s="11"/>
      <c r="U147" s="11"/>
      <c r="V147" s="11"/>
      <c r="W147" s="11"/>
      <c r="X147" s="11"/>
      <c r="Y147" s="55"/>
    </row>
    <row r="148" spans="1:51" ht="18" customHeight="1">
      <c r="A148" s="39" t="s">
        <v>59</v>
      </c>
      <c r="B148" s="15"/>
      <c r="C148" s="15"/>
      <c r="D148" s="39"/>
      <c r="E148" s="39"/>
      <c r="F148" s="39" t="s">
        <v>324</v>
      </c>
      <c r="G148" s="15"/>
      <c r="H148" s="15"/>
      <c r="I148" s="52"/>
      <c r="J148" s="39" t="s">
        <v>59</v>
      </c>
      <c r="K148" s="39" t="s">
        <v>116</v>
      </c>
      <c r="L148" s="39"/>
      <c r="M148" s="15"/>
      <c r="N148" s="15"/>
      <c r="O148" s="14"/>
      <c r="P148" s="14"/>
      <c r="Q148" s="16"/>
      <c r="R148" s="39" t="s">
        <v>346</v>
      </c>
      <c r="S148" s="15"/>
      <c r="T148" s="15"/>
      <c r="U148" s="15"/>
      <c r="V148" s="14"/>
      <c r="W148" s="14"/>
      <c r="X148" s="14"/>
      <c r="Y148" s="16"/>
      <c r="Z148" s="127" t="s">
        <v>134</v>
      </c>
      <c r="AA148" s="128" t="s">
        <v>70</v>
      </c>
      <c r="AB148" s="103"/>
      <c r="AC148" s="103"/>
      <c r="AD148" s="103"/>
      <c r="AE148" s="129"/>
      <c r="AF148" s="129"/>
      <c r="AG148" s="92"/>
      <c r="AH148" s="92"/>
      <c r="AI148" s="92"/>
      <c r="AJ148" s="92"/>
      <c r="AK148" s="92"/>
      <c r="AL148" s="92"/>
      <c r="AM148" s="92"/>
      <c r="AN148" s="92"/>
      <c r="AO148" s="92"/>
      <c r="AP148" s="92"/>
      <c r="AQ148" s="92"/>
      <c r="AR148" s="92"/>
      <c r="AS148" s="92"/>
      <c r="AT148" s="95"/>
      <c r="AX148" s="93" t="s">
        <v>221</v>
      </c>
      <c r="AY148" s="93"/>
    </row>
    <row r="149" spans="1:51" ht="18" customHeight="1">
      <c r="A149" s="19" t="s">
        <v>292</v>
      </c>
      <c r="B149" s="19" t="s">
        <v>305</v>
      </c>
      <c r="C149" s="19" t="s">
        <v>320</v>
      </c>
      <c r="D149" s="35" t="s">
        <v>118</v>
      </c>
      <c r="E149" s="35" t="s">
        <v>326</v>
      </c>
      <c r="F149" s="35" t="s">
        <v>321</v>
      </c>
      <c r="G149" s="48" t="s">
        <v>323</v>
      </c>
      <c r="H149" s="43" t="s">
        <v>322</v>
      </c>
      <c r="I149" s="52"/>
      <c r="J149" s="19" t="s">
        <v>134</v>
      </c>
      <c r="K149" s="19" t="str">
        <f aca="true" t="shared" si="419" ref="K149:Q149">K136</f>
        <v>Générales</v>
      </c>
      <c r="L149" s="19" t="str">
        <f t="shared" si="419"/>
        <v>Escalier</v>
      </c>
      <c r="M149" s="19" t="str">
        <f t="shared" si="419"/>
        <v>Eau</v>
      </c>
      <c r="N149" s="19" t="str">
        <f t="shared" si="419"/>
        <v>Charge1</v>
      </c>
      <c r="O149" s="19" t="str">
        <f t="shared" si="419"/>
        <v>Charge2</v>
      </c>
      <c r="P149" s="19" t="str">
        <f t="shared" si="419"/>
        <v>Travaux</v>
      </c>
      <c r="Q149" s="19" t="str">
        <f t="shared" si="419"/>
        <v>Provision</v>
      </c>
      <c r="R149" s="19" t="s">
        <v>52</v>
      </c>
      <c r="S149" s="19" t="s">
        <v>408</v>
      </c>
      <c r="T149" s="19" t="s">
        <v>53</v>
      </c>
      <c r="U149" s="19" t="s">
        <v>300</v>
      </c>
      <c r="V149" s="13" t="s">
        <v>209</v>
      </c>
      <c r="W149" s="13" t="s">
        <v>469</v>
      </c>
      <c r="X149" s="13" t="s">
        <v>470</v>
      </c>
      <c r="Y149" s="34" t="s">
        <v>43</v>
      </c>
      <c r="Z149" s="130">
        <v>60</v>
      </c>
      <c r="AA149" s="130">
        <v>61</v>
      </c>
      <c r="AB149" s="130">
        <v>62</v>
      </c>
      <c r="AC149" s="130">
        <v>63</v>
      </c>
      <c r="AD149" s="130">
        <v>64</v>
      </c>
      <c r="AE149" s="131">
        <v>66</v>
      </c>
      <c r="AF149" s="132">
        <v>661</v>
      </c>
      <c r="AG149" s="138">
        <v>671</v>
      </c>
      <c r="AH149" s="132">
        <v>672</v>
      </c>
      <c r="AI149" s="132">
        <v>673</v>
      </c>
      <c r="AJ149" s="132">
        <v>677</v>
      </c>
      <c r="AK149" s="132">
        <v>68</v>
      </c>
      <c r="AL149" s="132">
        <v>701</v>
      </c>
      <c r="AM149" s="132">
        <v>702</v>
      </c>
      <c r="AN149" s="132">
        <v>703</v>
      </c>
      <c r="AO149" s="132">
        <v>704</v>
      </c>
      <c r="AP149" s="132">
        <v>711</v>
      </c>
      <c r="AQ149" s="132">
        <v>712</v>
      </c>
      <c r="AR149" s="132">
        <v>713</v>
      </c>
      <c r="AS149" s="132">
        <v>714</v>
      </c>
      <c r="AT149" s="93"/>
      <c r="AX149" s="93" t="s">
        <v>442</v>
      </c>
      <c r="AY149" s="93" t="s">
        <v>303</v>
      </c>
    </row>
    <row r="150" spans="1:51" ht="18" customHeight="1">
      <c r="A150" s="339"/>
      <c r="B150" s="202"/>
      <c r="C150" s="346"/>
      <c r="D150" s="203"/>
      <c r="E150" s="325"/>
      <c r="F150" s="204"/>
      <c r="G150" s="45"/>
      <c r="H150" s="45"/>
      <c r="I150" s="53"/>
      <c r="J150" s="208"/>
      <c r="K150" s="60">
        <f aca="true" t="shared" si="420" ref="K150:K158">IF(D150="Générales",C150,"")</f>
      </c>
      <c r="L150" s="60">
        <f aca="true" t="shared" si="421" ref="L150:L158">IF(D150="Escalier",C150,"")</f>
      </c>
      <c r="M150" s="60">
        <f aca="true" t="shared" si="422" ref="M150:M158">IF(D150="Eau",C150,"")</f>
      </c>
      <c r="N150" s="60">
        <f aca="true" t="shared" si="423" ref="N150:N158">IF(D150="Spéciales1",C150,"")</f>
      </c>
      <c r="O150" s="60">
        <f aca="true" t="shared" si="424" ref="O150:O158">IF(D150="Spéciales2",C150,"")</f>
      </c>
      <c r="P150" s="60">
        <f aca="true" t="shared" si="425" ref="P150:P158">IF(D150="Travaux",C150,"")</f>
      </c>
      <c r="Q150" s="60">
        <f aca="true" t="shared" si="426" ref="Q150:Q158">IF(D150="Provision",C150,"")</f>
      </c>
      <c r="R150" s="60">
        <f aca="true" t="shared" si="427" ref="R150:R158">IF(D150="Lot n°1",C150,"")</f>
      </c>
      <c r="S150" s="60">
        <f aca="true" t="shared" si="428" ref="S150:S158">IF(D150="Lot n°2",C150,"")</f>
      </c>
      <c r="T150" s="60">
        <f aca="true" t="shared" si="429" ref="T150:T158">IF(D150="Lot n°3",C150,"")</f>
      </c>
      <c r="U150" s="60">
        <f aca="true" t="shared" si="430" ref="U150:U158">IF(D150="Lot n°4",C150,"")</f>
      </c>
      <c r="V150" s="61">
        <f aca="true" t="shared" si="431" ref="V150:V158">IF(D150="Lot n°5",C150,"")</f>
      </c>
      <c r="W150" s="61">
        <f>IF(D150="Lot n°6",C150,"")</f>
      </c>
      <c r="X150" s="61">
        <f>IF(D150="Lot n°7",C150,"")</f>
      </c>
      <c r="Y150" s="60">
        <f aca="true" t="shared" si="432" ref="Y150:Y158">IF(D150="Lot n°M",C150,"")</f>
      </c>
      <c r="Z150" s="137">
        <f aca="true" t="shared" si="433" ref="Z150:Z158">IF(J150="60 Achat de matières et fournitures",C150,"")</f>
      </c>
      <c r="AA150" s="135">
        <f aca="true" t="shared" si="434" ref="AA150:AA158">IF(J150="61 Services extérieurs",C150,"")</f>
      </c>
      <c r="AB150" s="135">
        <f aca="true" t="shared" si="435" ref="AB150:AB158">IF(J150="62 Frais d'administration et honoraires",C150,"")</f>
      </c>
      <c r="AC150" s="135">
        <f aca="true" t="shared" si="436" ref="AC150:AC158">IF(J150="63 Impôts - taxes et versements assimilés",C150,"")</f>
      </c>
      <c r="AD150" s="135">
        <f aca="true" t="shared" si="437" ref="AD150:AD158">IF(J150="64 Frais de personnel",C150,"")</f>
      </c>
      <c r="AE150" s="136">
        <f aca="true" t="shared" si="438" ref="AE150:AE158">IF(J150="66 Charges financières des emprunts, agios",C150,"")</f>
      </c>
      <c r="AF150" s="135">
        <f aca="true" t="shared" si="439" ref="AF150:AF158">IF(J150="661 Rembourcement d'annuités d'emprunt",C150,"")</f>
      </c>
      <c r="AG150" s="123">
        <f aca="true" t="shared" si="440" ref="AG150:AG158">IF(J150="671 Travaux décidés par l'AG",C150,"")</f>
      </c>
      <c r="AH150" s="123">
        <f aca="true" t="shared" si="441" ref="AH150:AH158">IF(J150="672 Travaux urgents",C150,"")</f>
      </c>
      <c r="AI150" s="123">
        <f aca="true" t="shared" si="442" ref="AI150:AI158">IF(J150="673 Etudes techniques, diagnostic",C150,"")</f>
      </c>
      <c r="AJ150" s="123">
        <f aca="true" t="shared" si="443" ref="AJ150:AJ158">IF(J150="677 Pertes sur créances irrécouvrables",C150,"")</f>
      </c>
      <c r="AK150" s="123">
        <f aca="true" t="shared" si="444" ref="AK150:AK158">IF(J150="68 Dotations aux dépréciations sur créances douteuses",C150,"")</f>
      </c>
      <c r="AL150" s="123">
        <f aca="true" t="shared" si="445" ref="AL150:AL158">IF(J150="701 Provisions sur opérations courantes",C150,"")</f>
      </c>
      <c r="AM150" s="123">
        <f aca="true" t="shared" si="446" ref="AM150:AM158">IF(J150="702 Provisions pour travaux",C150,"")</f>
      </c>
      <c r="AN150" s="123">
        <f aca="true" t="shared" si="447" ref="AN150:AN158">IF(J150="703 Avances",C150,"")</f>
      </c>
      <c r="AO150" s="123">
        <f aca="true" t="shared" si="448" ref="AO150:AO158">IF(J150="704 Rembourcement d'emprunt",C150,"")</f>
      </c>
      <c r="AP150" s="123">
        <f aca="true" t="shared" si="449" ref="AP150:AP158">IF(J150="711 Subventions sur travaux",C150,"")</f>
      </c>
      <c r="AQ150" s="123">
        <f aca="true" t="shared" si="450" ref="AQ150:AQ158">IF(J150="712 Emprunts",C150,"")</f>
      </c>
      <c r="AR150" s="123">
        <f aca="true" t="shared" si="451" ref="AR150:AR158">IF(J150="713 Indemnités d'assurances",C150,"")</f>
      </c>
      <c r="AS150" s="123">
        <f aca="true" t="shared" si="452" ref="AS150:AS158">IF(J150="714 Produits divers",C150,"")</f>
      </c>
      <c r="AT150" s="93">
        <f aca="true" t="shared" si="453" ref="AT150:AT158">IF(J150="78 Reprises de dépréciations sur créance",C150,"")</f>
      </c>
      <c r="AX150" s="328">
        <f aca="true" t="shared" si="454" ref="AX150:AX158">IF(E150="Locataires",K150,"")</f>
      </c>
      <c r="AY150" s="328">
        <f aca="true" t="shared" si="455" ref="AY150:AY158">IF(E150="Locataires",L150,"")</f>
      </c>
    </row>
    <row r="151" spans="1:51" ht="18" customHeight="1">
      <c r="A151" s="339"/>
      <c r="B151" s="202"/>
      <c r="C151" s="346"/>
      <c r="D151" s="203"/>
      <c r="E151" s="325"/>
      <c r="F151" s="205"/>
      <c r="G151" s="46"/>
      <c r="H151" s="46"/>
      <c r="I151" s="53"/>
      <c r="J151" s="208"/>
      <c r="K151" s="60">
        <f t="shared" si="420"/>
      </c>
      <c r="L151" s="60">
        <f t="shared" si="421"/>
      </c>
      <c r="M151" s="60">
        <f t="shared" si="422"/>
      </c>
      <c r="N151" s="60">
        <f t="shared" si="423"/>
      </c>
      <c r="O151" s="60">
        <f t="shared" si="424"/>
      </c>
      <c r="P151" s="60">
        <f t="shared" si="425"/>
      </c>
      <c r="Q151" s="60">
        <f t="shared" si="426"/>
      </c>
      <c r="R151" s="60">
        <f t="shared" si="427"/>
      </c>
      <c r="S151" s="60">
        <f t="shared" si="428"/>
      </c>
      <c r="T151" s="60">
        <f t="shared" si="429"/>
      </c>
      <c r="U151" s="60">
        <f t="shared" si="430"/>
      </c>
      <c r="V151" s="61">
        <f t="shared" si="431"/>
      </c>
      <c r="W151" s="61">
        <f aca="true" t="shared" si="456" ref="W151:W158">IF(D151="Lot n°6",C151,"")</f>
      </c>
      <c r="X151" s="61">
        <f aca="true" t="shared" si="457" ref="X151:X158">IF(D151="Lot n°7",C151,"")</f>
      </c>
      <c r="Y151" s="60">
        <f t="shared" si="432"/>
      </c>
      <c r="Z151" s="137">
        <f t="shared" si="433"/>
      </c>
      <c r="AA151" s="135">
        <f t="shared" si="434"/>
      </c>
      <c r="AB151" s="135">
        <f t="shared" si="435"/>
      </c>
      <c r="AC151" s="135">
        <f t="shared" si="436"/>
      </c>
      <c r="AD151" s="135">
        <f t="shared" si="437"/>
      </c>
      <c r="AE151" s="136">
        <f t="shared" si="438"/>
      </c>
      <c r="AF151" s="135">
        <f t="shared" si="439"/>
      </c>
      <c r="AG151" s="123">
        <f t="shared" si="440"/>
      </c>
      <c r="AH151" s="123">
        <f t="shared" si="441"/>
      </c>
      <c r="AI151" s="123">
        <f t="shared" si="442"/>
      </c>
      <c r="AJ151" s="123">
        <f t="shared" si="443"/>
      </c>
      <c r="AK151" s="123">
        <f t="shared" si="444"/>
      </c>
      <c r="AL151" s="123">
        <f t="shared" si="445"/>
      </c>
      <c r="AM151" s="123">
        <f t="shared" si="446"/>
      </c>
      <c r="AN151" s="123">
        <f t="shared" si="447"/>
      </c>
      <c r="AO151" s="123">
        <f t="shared" si="448"/>
      </c>
      <c r="AP151" s="123">
        <f t="shared" si="449"/>
      </c>
      <c r="AQ151" s="123">
        <f t="shared" si="450"/>
      </c>
      <c r="AR151" s="123">
        <f t="shared" si="451"/>
      </c>
      <c r="AS151" s="123">
        <f t="shared" si="452"/>
      </c>
      <c r="AT151" s="93">
        <f t="shared" si="453"/>
      </c>
      <c r="AX151" s="328">
        <f t="shared" si="454"/>
      </c>
      <c r="AY151" s="328">
        <f t="shared" si="455"/>
      </c>
    </row>
    <row r="152" spans="1:51" ht="18" customHeight="1">
      <c r="A152" s="339"/>
      <c r="B152" s="202"/>
      <c r="C152" s="346"/>
      <c r="D152" s="203"/>
      <c r="E152" s="325"/>
      <c r="F152" s="205"/>
      <c r="G152" s="46"/>
      <c r="H152" s="46"/>
      <c r="I152" s="53"/>
      <c r="J152" s="208"/>
      <c r="K152" s="60">
        <f t="shared" si="420"/>
      </c>
      <c r="L152" s="60">
        <f t="shared" si="421"/>
      </c>
      <c r="M152" s="60">
        <f t="shared" si="422"/>
      </c>
      <c r="N152" s="60">
        <f t="shared" si="423"/>
      </c>
      <c r="O152" s="60">
        <f t="shared" si="424"/>
      </c>
      <c r="P152" s="60">
        <f t="shared" si="425"/>
      </c>
      <c r="Q152" s="60">
        <f t="shared" si="426"/>
      </c>
      <c r="R152" s="60">
        <f t="shared" si="427"/>
      </c>
      <c r="S152" s="60">
        <f t="shared" si="428"/>
      </c>
      <c r="T152" s="60">
        <f t="shared" si="429"/>
      </c>
      <c r="U152" s="60">
        <f t="shared" si="430"/>
      </c>
      <c r="V152" s="61">
        <f t="shared" si="431"/>
      </c>
      <c r="W152" s="61">
        <f t="shared" si="456"/>
      </c>
      <c r="X152" s="61">
        <f t="shared" si="457"/>
      </c>
      <c r="Y152" s="60">
        <f t="shared" si="432"/>
      </c>
      <c r="Z152" s="137">
        <f t="shared" si="433"/>
      </c>
      <c r="AA152" s="135">
        <f t="shared" si="434"/>
      </c>
      <c r="AB152" s="135">
        <f t="shared" si="435"/>
      </c>
      <c r="AC152" s="135">
        <f t="shared" si="436"/>
      </c>
      <c r="AD152" s="135">
        <f t="shared" si="437"/>
      </c>
      <c r="AE152" s="136">
        <f t="shared" si="438"/>
      </c>
      <c r="AF152" s="135">
        <f t="shared" si="439"/>
      </c>
      <c r="AG152" s="123">
        <f t="shared" si="440"/>
      </c>
      <c r="AH152" s="123">
        <f t="shared" si="441"/>
      </c>
      <c r="AI152" s="123">
        <f t="shared" si="442"/>
      </c>
      <c r="AJ152" s="123">
        <f t="shared" si="443"/>
      </c>
      <c r="AK152" s="123">
        <f t="shared" si="444"/>
      </c>
      <c r="AL152" s="123">
        <f t="shared" si="445"/>
      </c>
      <c r="AM152" s="123">
        <f t="shared" si="446"/>
      </c>
      <c r="AN152" s="123">
        <f t="shared" si="447"/>
      </c>
      <c r="AO152" s="123">
        <f t="shared" si="448"/>
      </c>
      <c r="AP152" s="123">
        <f t="shared" si="449"/>
      </c>
      <c r="AQ152" s="123">
        <f t="shared" si="450"/>
      </c>
      <c r="AR152" s="123">
        <f t="shared" si="451"/>
      </c>
      <c r="AS152" s="123">
        <f t="shared" si="452"/>
      </c>
      <c r="AT152" s="93">
        <f t="shared" si="453"/>
      </c>
      <c r="AX152" s="328">
        <f t="shared" si="454"/>
      </c>
      <c r="AY152" s="328">
        <f t="shared" si="455"/>
      </c>
    </row>
    <row r="153" spans="1:51" ht="18" customHeight="1">
      <c r="A153" s="339"/>
      <c r="B153" s="202"/>
      <c r="C153" s="346"/>
      <c r="D153" s="203"/>
      <c r="E153" s="325"/>
      <c r="F153" s="206"/>
      <c r="G153" s="46"/>
      <c r="H153" s="46"/>
      <c r="I153" s="53"/>
      <c r="J153" s="208"/>
      <c r="K153" s="60">
        <f t="shared" si="420"/>
      </c>
      <c r="L153" s="60">
        <f t="shared" si="421"/>
      </c>
      <c r="M153" s="60">
        <f t="shared" si="422"/>
      </c>
      <c r="N153" s="60">
        <f t="shared" si="423"/>
      </c>
      <c r="O153" s="60">
        <f t="shared" si="424"/>
      </c>
      <c r="P153" s="60">
        <f t="shared" si="425"/>
      </c>
      <c r="Q153" s="60">
        <f t="shared" si="426"/>
      </c>
      <c r="R153" s="60">
        <f t="shared" si="427"/>
      </c>
      <c r="S153" s="60">
        <f t="shared" si="428"/>
      </c>
      <c r="T153" s="60">
        <f t="shared" si="429"/>
      </c>
      <c r="U153" s="60">
        <f t="shared" si="430"/>
      </c>
      <c r="V153" s="61">
        <f t="shared" si="431"/>
      </c>
      <c r="W153" s="61">
        <f t="shared" si="456"/>
      </c>
      <c r="X153" s="61">
        <f t="shared" si="457"/>
      </c>
      <c r="Y153" s="60">
        <f t="shared" si="432"/>
      </c>
      <c r="Z153" s="137">
        <f t="shared" si="433"/>
      </c>
      <c r="AA153" s="135">
        <f t="shared" si="434"/>
      </c>
      <c r="AB153" s="135">
        <f t="shared" si="435"/>
      </c>
      <c r="AC153" s="135">
        <f t="shared" si="436"/>
      </c>
      <c r="AD153" s="135">
        <f t="shared" si="437"/>
      </c>
      <c r="AE153" s="136">
        <f t="shared" si="438"/>
      </c>
      <c r="AF153" s="135">
        <f t="shared" si="439"/>
      </c>
      <c r="AG153" s="123">
        <f t="shared" si="440"/>
      </c>
      <c r="AH153" s="123">
        <f t="shared" si="441"/>
      </c>
      <c r="AI153" s="123">
        <f t="shared" si="442"/>
      </c>
      <c r="AJ153" s="123">
        <f t="shared" si="443"/>
      </c>
      <c r="AK153" s="123">
        <f t="shared" si="444"/>
      </c>
      <c r="AL153" s="123">
        <f t="shared" si="445"/>
      </c>
      <c r="AM153" s="123">
        <f t="shared" si="446"/>
      </c>
      <c r="AN153" s="123">
        <f t="shared" si="447"/>
      </c>
      <c r="AO153" s="123">
        <f t="shared" si="448"/>
      </c>
      <c r="AP153" s="123">
        <f t="shared" si="449"/>
      </c>
      <c r="AQ153" s="123">
        <f t="shared" si="450"/>
      </c>
      <c r="AR153" s="123">
        <f t="shared" si="451"/>
      </c>
      <c r="AS153" s="123">
        <f t="shared" si="452"/>
      </c>
      <c r="AT153" s="93">
        <f t="shared" si="453"/>
      </c>
      <c r="AX153" s="328">
        <f t="shared" si="454"/>
      </c>
      <c r="AY153" s="328">
        <f t="shared" si="455"/>
      </c>
    </row>
    <row r="154" spans="1:51" ht="18" customHeight="1">
      <c r="A154" s="339"/>
      <c r="B154" s="202"/>
      <c r="C154" s="346"/>
      <c r="D154" s="203"/>
      <c r="E154" s="325"/>
      <c r="F154" s="206"/>
      <c r="G154" s="46"/>
      <c r="H154" s="46"/>
      <c r="I154" s="53"/>
      <c r="J154" s="208"/>
      <c r="K154" s="60">
        <f t="shared" si="420"/>
      </c>
      <c r="L154" s="60">
        <f t="shared" si="421"/>
      </c>
      <c r="M154" s="60">
        <f t="shared" si="422"/>
      </c>
      <c r="N154" s="60">
        <f t="shared" si="423"/>
      </c>
      <c r="O154" s="60">
        <f t="shared" si="424"/>
      </c>
      <c r="P154" s="60">
        <f t="shared" si="425"/>
      </c>
      <c r="Q154" s="60">
        <f t="shared" si="426"/>
      </c>
      <c r="R154" s="60">
        <f t="shared" si="427"/>
      </c>
      <c r="S154" s="60">
        <f t="shared" si="428"/>
      </c>
      <c r="T154" s="60">
        <f t="shared" si="429"/>
      </c>
      <c r="U154" s="60">
        <f t="shared" si="430"/>
      </c>
      <c r="V154" s="61">
        <f t="shared" si="431"/>
      </c>
      <c r="W154" s="61">
        <f t="shared" si="456"/>
      </c>
      <c r="X154" s="61">
        <f t="shared" si="457"/>
      </c>
      <c r="Y154" s="60">
        <f t="shared" si="432"/>
      </c>
      <c r="Z154" s="137">
        <f t="shared" si="433"/>
      </c>
      <c r="AA154" s="135">
        <f t="shared" si="434"/>
      </c>
      <c r="AB154" s="135">
        <f t="shared" si="435"/>
      </c>
      <c r="AC154" s="135">
        <f t="shared" si="436"/>
      </c>
      <c r="AD154" s="135">
        <f t="shared" si="437"/>
      </c>
      <c r="AE154" s="136">
        <f t="shared" si="438"/>
      </c>
      <c r="AF154" s="135">
        <f t="shared" si="439"/>
      </c>
      <c r="AG154" s="123">
        <f t="shared" si="440"/>
      </c>
      <c r="AH154" s="123">
        <f t="shared" si="441"/>
      </c>
      <c r="AI154" s="123">
        <f t="shared" si="442"/>
      </c>
      <c r="AJ154" s="123">
        <f t="shared" si="443"/>
      </c>
      <c r="AK154" s="123">
        <f t="shared" si="444"/>
      </c>
      <c r="AL154" s="123">
        <f t="shared" si="445"/>
      </c>
      <c r="AM154" s="123">
        <f t="shared" si="446"/>
      </c>
      <c r="AN154" s="123">
        <f t="shared" si="447"/>
      </c>
      <c r="AO154" s="123">
        <f t="shared" si="448"/>
      </c>
      <c r="AP154" s="123">
        <f t="shared" si="449"/>
      </c>
      <c r="AQ154" s="123">
        <f t="shared" si="450"/>
      </c>
      <c r="AR154" s="123">
        <f t="shared" si="451"/>
      </c>
      <c r="AS154" s="123">
        <f t="shared" si="452"/>
      </c>
      <c r="AT154" s="93">
        <f t="shared" si="453"/>
      </c>
      <c r="AX154" s="328">
        <f t="shared" si="454"/>
      </c>
      <c r="AY154" s="328">
        <f t="shared" si="455"/>
      </c>
    </row>
    <row r="155" spans="1:51" ht="18" customHeight="1">
      <c r="A155" s="339"/>
      <c r="B155" s="202"/>
      <c r="C155" s="346"/>
      <c r="D155" s="203"/>
      <c r="E155" s="325"/>
      <c r="F155" s="206"/>
      <c r="G155" s="46"/>
      <c r="H155" s="46"/>
      <c r="I155" s="53"/>
      <c r="J155" s="208"/>
      <c r="K155" s="60">
        <f t="shared" si="420"/>
      </c>
      <c r="L155" s="60">
        <f t="shared" si="421"/>
      </c>
      <c r="M155" s="60">
        <f t="shared" si="422"/>
      </c>
      <c r="N155" s="60">
        <f t="shared" si="423"/>
      </c>
      <c r="O155" s="60">
        <f t="shared" si="424"/>
      </c>
      <c r="P155" s="60">
        <f t="shared" si="425"/>
      </c>
      <c r="Q155" s="60">
        <f t="shared" si="426"/>
      </c>
      <c r="R155" s="60">
        <f t="shared" si="427"/>
      </c>
      <c r="S155" s="60">
        <f t="shared" si="428"/>
      </c>
      <c r="T155" s="60">
        <f t="shared" si="429"/>
      </c>
      <c r="U155" s="60">
        <f t="shared" si="430"/>
      </c>
      <c r="V155" s="61">
        <f t="shared" si="431"/>
      </c>
      <c r="W155" s="61">
        <f t="shared" si="456"/>
      </c>
      <c r="X155" s="61">
        <f t="shared" si="457"/>
      </c>
      <c r="Y155" s="60">
        <f t="shared" si="432"/>
      </c>
      <c r="Z155" s="137">
        <f t="shared" si="433"/>
      </c>
      <c r="AA155" s="135">
        <f t="shared" si="434"/>
      </c>
      <c r="AB155" s="135">
        <f t="shared" si="435"/>
      </c>
      <c r="AC155" s="135">
        <f t="shared" si="436"/>
      </c>
      <c r="AD155" s="135">
        <f t="shared" si="437"/>
      </c>
      <c r="AE155" s="136">
        <f t="shared" si="438"/>
      </c>
      <c r="AF155" s="135">
        <f t="shared" si="439"/>
      </c>
      <c r="AG155" s="123">
        <f t="shared" si="440"/>
      </c>
      <c r="AH155" s="123">
        <f t="shared" si="441"/>
      </c>
      <c r="AI155" s="123">
        <f t="shared" si="442"/>
      </c>
      <c r="AJ155" s="123">
        <f t="shared" si="443"/>
      </c>
      <c r="AK155" s="123">
        <f t="shared" si="444"/>
      </c>
      <c r="AL155" s="123">
        <f t="shared" si="445"/>
      </c>
      <c r="AM155" s="123">
        <f t="shared" si="446"/>
      </c>
      <c r="AN155" s="123">
        <f t="shared" si="447"/>
      </c>
      <c r="AO155" s="123">
        <f t="shared" si="448"/>
      </c>
      <c r="AP155" s="123">
        <f t="shared" si="449"/>
      </c>
      <c r="AQ155" s="123">
        <f t="shared" si="450"/>
      </c>
      <c r="AR155" s="123">
        <f t="shared" si="451"/>
      </c>
      <c r="AS155" s="123">
        <f t="shared" si="452"/>
      </c>
      <c r="AT155" s="93">
        <f t="shared" si="453"/>
      </c>
      <c r="AX155" s="328">
        <f t="shared" si="454"/>
      </c>
      <c r="AY155" s="328">
        <f t="shared" si="455"/>
      </c>
    </row>
    <row r="156" spans="1:51" ht="18" customHeight="1">
      <c r="A156" s="339"/>
      <c r="B156" s="202"/>
      <c r="C156" s="346"/>
      <c r="D156" s="203"/>
      <c r="E156" s="325"/>
      <c r="F156" s="206"/>
      <c r="G156" s="46"/>
      <c r="H156" s="46"/>
      <c r="I156" s="53"/>
      <c r="J156" s="208"/>
      <c r="K156" s="60">
        <f t="shared" si="420"/>
      </c>
      <c r="L156" s="60">
        <f t="shared" si="421"/>
      </c>
      <c r="M156" s="60">
        <f t="shared" si="422"/>
      </c>
      <c r="N156" s="60">
        <f t="shared" si="423"/>
      </c>
      <c r="O156" s="60">
        <f t="shared" si="424"/>
      </c>
      <c r="P156" s="60">
        <f t="shared" si="425"/>
      </c>
      <c r="Q156" s="60">
        <f t="shared" si="426"/>
      </c>
      <c r="R156" s="60">
        <f t="shared" si="427"/>
      </c>
      <c r="S156" s="60">
        <f t="shared" si="428"/>
      </c>
      <c r="T156" s="60">
        <f t="shared" si="429"/>
      </c>
      <c r="U156" s="60">
        <f t="shared" si="430"/>
      </c>
      <c r="V156" s="61">
        <f t="shared" si="431"/>
      </c>
      <c r="W156" s="61">
        <f t="shared" si="456"/>
      </c>
      <c r="X156" s="61">
        <f t="shared" si="457"/>
      </c>
      <c r="Y156" s="60">
        <f t="shared" si="432"/>
      </c>
      <c r="Z156" s="137">
        <f t="shared" si="433"/>
      </c>
      <c r="AA156" s="135">
        <f t="shared" si="434"/>
      </c>
      <c r="AB156" s="135">
        <f t="shared" si="435"/>
      </c>
      <c r="AC156" s="135">
        <f t="shared" si="436"/>
      </c>
      <c r="AD156" s="135">
        <f t="shared" si="437"/>
      </c>
      <c r="AE156" s="136">
        <f t="shared" si="438"/>
      </c>
      <c r="AF156" s="135">
        <f t="shared" si="439"/>
      </c>
      <c r="AG156" s="123">
        <f t="shared" si="440"/>
      </c>
      <c r="AH156" s="123">
        <f t="shared" si="441"/>
      </c>
      <c r="AI156" s="123">
        <f t="shared" si="442"/>
      </c>
      <c r="AJ156" s="123">
        <f t="shared" si="443"/>
      </c>
      <c r="AK156" s="123">
        <f t="shared" si="444"/>
      </c>
      <c r="AL156" s="123">
        <f t="shared" si="445"/>
      </c>
      <c r="AM156" s="123">
        <f t="shared" si="446"/>
      </c>
      <c r="AN156" s="123">
        <f t="shared" si="447"/>
      </c>
      <c r="AO156" s="123">
        <f t="shared" si="448"/>
      </c>
      <c r="AP156" s="123">
        <f t="shared" si="449"/>
      </c>
      <c r="AQ156" s="123">
        <f t="shared" si="450"/>
      </c>
      <c r="AR156" s="123">
        <f t="shared" si="451"/>
      </c>
      <c r="AS156" s="123">
        <f t="shared" si="452"/>
      </c>
      <c r="AT156" s="93">
        <f t="shared" si="453"/>
      </c>
      <c r="AX156" s="328">
        <f t="shared" si="454"/>
      </c>
      <c r="AY156" s="328">
        <f t="shared" si="455"/>
      </c>
    </row>
    <row r="157" spans="1:51" ht="18" customHeight="1">
      <c r="A157" s="339"/>
      <c r="B157" s="202"/>
      <c r="C157" s="346"/>
      <c r="D157" s="203"/>
      <c r="E157" s="325"/>
      <c r="F157" s="206"/>
      <c r="G157" s="46"/>
      <c r="H157" s="46"/>
      <c r="I157" s="53"/>
      <c r="J157" s="208"/>
      <c r="K157" s="60">
        <f t="shared" si="420"/>
      </c>
      <c r="L157" s="60">
        <f t="shared" si="421"/>
      </c>
      <c r="M157" s="60">
        <f t="shared" si="422"/>
      </c>
      <c r="N157" s="60">
        <f t="shared" si="423"/>
      </c>
      <c r="O157" s="60">
        <f t="shared" si="424"/>
      </c>
      <c r="P157" s="60">
        <f t="shared" si="425"/>
      </c>
      <c r="Q157" s="60">
        <f t="shared" si="426"/>
      </c>
      <c r="R157" s="60">
        <f t="shared" si="427"/>
      </c>
      <c r="S157" s="60">
        <f t="shared" si="428"/>
      </c>
      <c r="T157" s="60">
        <f t="shared" si="429"/>
      </c>
      <c r="U157" s="60">
        <f t="shared" si="430"/>
      </c>
      <c r="V157" s="61">
        <f t="shared" si="431"/>
      </c>
      <c r="W157" s="61">
        <f t="shared" si="456"/>
      </c>
      <c r="X157" s="61">
        <f t="shared" si="457"/>
      </c>
      <c r="Y157" s="60">
        <f t="shared" si="432"/>
      </c>
      <c r="Z157" s="137">
        <f t="shared" si="433"/>
      </c>
      <c r="AA157" s="135">
        <f t="shared" si="434"/>
      </c>
      <c r="AB157" s="135">
        <f t="shared" si="435"/>
      </c>
      <c r="AC157" s="135">
        <f t="shared" si="436"/>
      </c>
      <c r="AD157" s="135">
        <f t="shared" si="437"/>
      </c>
      <c r="AE157" s="136">
        <f t="shared" si="438"/>
      </c>
      <c r="AF157" s="135">
        <f t="shared" si="439"/>
      </c>
      <c r="AG157" s="123">
        <f t="shared" si="440"/>
      </c>
      <c r="AH157" s="123">
        <f t="shared" si="441"/>
      </c>
      <c r="AI157" s="123">
        <f t="shared" si="442"/>
      </c>
      <c r="AJ157" s="123">
        <f t="shared" si="443"/>
      </c>
      <c r="AK157" s="123">
        <f t="shared" si="444"/>
      </c>
      <c r="AL157" s="123">
        <f t="shared" si="445"/>
      </c>
      <c r="AM157" s="123">
        <f t="shared" si="446"/>
      </c>
      <c r="AN157" s="123">
        <f t="shared" si="447"/>
      </c>
      <c r="AO157" s="123">
        <f t="shared" si="448"/>
      </c>
      <c r="AP157" s="123">
        <f t="shared" si="449"/>
      </c>
      <c r="AQ157" s="123">
        <f t="shared" si="450"/>
      </c>
      <c r="AR157" s="123">
        <f t="shared" si="451"/>
      </c>
      <c r="AS157" s="123">
        <f t="shared" si="452"/>
      </c>
      <c r="AT157" s="93">
        <f t="shared" si="453"/>
      </c>
      <c r="AX157" s="328">
        <f t="shared" si="454"/>
      </c>
      <c r="AY157" s="328">
        <f t="shared" si="455"/>
      </c>
    </row>
    <row r="158" spans="1:51" ht="18" customHeight="1">
      <c r="A158" s="339"/>
      <c r="B158" s="202"/>
      <c r="C158" s="346"/>
      <c r="D158" s="203"/>
      <c r="E158" s="325"/>
      <c r="F158" s="207"/>
      <c r="G158" s="47"/>
      <c r="H158" s="46"/>
      <c r="I158" s="53"/>
      <c r="J158" s="208"/>
      <c r="K158" s="60">
        <f t="shared" si="420"/>
      </c>
      <c r="L158" s="60">
        <f t="shared" si="421"/>
      </c>
      <c r="M158" s="60">
        <f t="shared" si="422"/>
      </c>
      <c r="N158" s="60">
        <f t="shared" si="423"/>
      </c>
      <c r="O158" s="60">
        <f t="shared" si="424"/>
      </c>
      <c r="P158" s="60">
        <f t="shared" si="425"/>
      </c>
      <c r="Q158" s="60">
        <f t="shared" si="426"/>
      </c>
      <c r="R158" s="60">
        <f t="shared" si="427"/>
      </c>
      <c r="S158" s="60">
        <f t="shared" si="428"/>
      </c>
      <c r="T158" s="60">
        <f t="shared" si="429"/>
      </c>
      <c r="U158" s="60">
        <f t="shared" si="430"/>
      </c>
      <c r="V158" s="61">
        <f t="shared" si="431"/>
      </c>
      <c r="W158" s="61">
        <f t="shared" si="456"/>
      </c>
      <c r="X158" s="61">
        <f t="shared" si="457"/>
      </c>
      <c r="Y158" s="60">
        <f t="shared" si="432"/>
      </c>
      <c r="Z158" s="137">
        <f t="shared" si="433"/>
      </c>
      <c r="AA158" s="135">
        <f t="shared" si="434"/>
      </c>
      <c r="AB158" s="135">
        <f t="shared" si="435"/>
      </c>
      <c r="AC158" s="135">
        <f t="shared" si="436"/>
      </c>
      <c r="AD158" s="135">
        <f t="shared" si="437"/>
      </c>
      <c r="AE158" s="136">
        <f t="shared" si="438"/>
      </c>
      <c r="AF158" s="135">
        <f t="shared" si="439"/>
      </c>
      <c r="AG158" s="123">
        <f t="shared" si="440"/>
      </c>
      <c r="AH158" s="123">
        <f t="shared" si="441"/>
      </c>
      <c r="AI158" s="123">
        <f t="shared" si="442"/>
      </c>
      <c r="AJ158" s="123">
        <f t="shared" si="443"/>
      </c>
      <c r="AK158" s="123">
        <f t="shared" si="444"/>
      </c>
      <c r="AL158" s="123">
        <f t="shared" si="445"/>
      </c>
      <c r="AM158" s="123">
        <f t="shared" si="446"/>
      </c>
      <c r="AN158" s="123">
        <f t="shared" si="447"/>
      </c>
      <c r="AO158" s="123">
        <f t="shared" si="448"/>
      </c>
      <c r="AP158" s="123">
        <f t="shared" si="449"/>
      </c>
      <c r="AQ158" s="123">
        <f t="shared" si="450"/>
      </c>
      <c r="AR158" s="123">
        <f t="shared" si="451"/>
      </c>
      <c r="AS158" s="123">
        <f t="shared" si="452"/>
      </c>
      <c r="AT158" s="93">
        <f t="shared" si="453"/>
      </c>
      <c r="AX158" s="328">
        <f t="shared" si="454"/>
      </c>
      <c r="AY158" s="328">
        <f t="shared" si="455"/>
      </c>
    </row>
    <row r="159" spans="1:51" ht="18" customHeight="1">
      <c r="A159" s="40" t="s">
        <v>117</v>
      </c>
      <c r="B159" s="29"/>
      <c r="C159" s="41">
        <f>SUM(C150,C151,C152,C153,C154,C155,C156,C157,C158)</f>
        <v>0</v>
      </c>
      <c r="D159" s="36">
        <f>D146+C159</f>
        <v>0</v>
      </c>
      <c r="E159" s="327"/>
      <c r="F159" s="203"/>
      <c r="G159" s="49">
        <f>'Comptes Lots'!B15+'Comptes Lots'!B38+'Comptes Lots'!B61+'Comptes Lots'!B84+'Comptes Lots'!B107+'Comptes Lots'!B130+'Comptes Lots'!B153+'Comptes Lots'!B176</f>
        <v>0</v>
      </c>
      <c r="H159" s="41">
        <f>H146+'Comptes Lots'!I15+'Comptes Lots'!I38+'Comptes Lots'!I61+'Comptes Lots'!I84+'Comptes Lots'!I107+'Comptes Lots'!I130+'Comptes Lots'!I153+'Comptes Lots'!I176</f>
        <v>0</v>
      </c>
      <c r="I159" s="64"/>
      <c r="J159" s="40" t="s">
        <v>117</v>
      </c>
      <c r="K159" s="41">
        <f aca="true" t="shared" si="458" ref="K159:Q159">SUM(K150,K151,K152,K153,K154,K155,K156,K157,K158)</f>
        <v>0</v>
      </c>
      <c r="L159" s="41">
        <f t="shared" si="458"/>
        <v>0</v>
      </c>
      <c r="M159" s="41">
        <f t="shared" si="458"/>
        <v>0</v>
      </c>
      <c r="N159" s="41">
        <f t="shared" si="458"/>
        <v>0</v>
      </c>
      <c r="O159" s="41">
        <f t="shared" si="458"/>
        <v>0</v>
      </c>
      <c r="P159" s="41">
        <f t="shared" si="458"/>
        <v>0</v>
      </c>
      <c r="Q159" s="41">
        <f t="shared" si="458"/>
        <v>0</v>
      </c>
      <c r="R159" s="41">
        <f aca="true" t="shared" si="459" ref="R159:Y159">SUM(R150,R151,R152,R153,R154,R155,R156,R157,R158)</f>
        <v>0</v>
      </c>
      <c r="S159" s="41">
        <f t="shared" si="459"/>
        <v>0</v>
      </c>
      <c r="T159" s="41">
        <f t="shared" si="459"/>
        <v>0</v>
      </c>
      <c r="U159" s="41">
        <f t="shared" si="459"/>
        <v>0</v>
      </c>
      <c r="V159" s="42">
        <f t="shared" si="459"/>
        <v>0</v>
      </c>
      <c r="W159" s="42">
        <f t="shared" si="459"/>
        <v>0</v>
      </c>
      <c r="X159" s="42">
        <f t="shared" si="459"/>
        <v>0</v>
      </c>
      <c r="Y159" s="41">
        <f t="shared" si="459"/>
        <v>0</v>
      </c>
      <c r="Z159" s="133">
        <f aca="true" t="shared" si="460" ref="Z159:AT159">SUM(Z150,Z151,Z152,Z153,Z154,Z155,Z156,Z157,Z158)</f>
        <v>0</v>
      </c>
      <c r="AA159" s="133">
        <f t="shared" si="460"/>
        <v>0</v>
      </c>
      <c r="AB159" s="133">
        <f t="shared" si="460"/>
        <v>0</v>
      </c>
      <c r="AC159" s="133">
        <f t="shared" si="460"/>
        <v>0</v>
      </c>
      <c r="AD159" s="133">
        <f t="shared" si="460"/>
        <v>0</v>
      </c>
      <c r="AE159" s="134">
        <f t="shared" si="460"/>
        <v>0</v>
      </c>
      <c r="AF159" s="133">
        <f t="shared" si="460"/>
        <v>0</v>
      </c>
      <c r="AG159" s="133">
        <f t="shared" si="460"/>
        <v>0</v>
      </c>
      <c r="AH159" s="133">
        <f t="shared" si="460"/>
        <v>0</v>
      </c>
      <c r="AI159" s="133">
        <f t="shared" si="460"/>
        <v>0</v>
      </c>
      <c r="AJ159" s="133">
        <f t="shared" si="460"/>
        <v>0</v>
      </c>
      <c r="AK159" s="133">
        <f t="shared" si="460"/>
        <v>0</v>
      </c>
      <c r="AL159" s="133">
        <f t="shared" si="460"/>
        <v>0</v>
      </c>
      <c r="AM159" s="134">
        <f t="shared" si="460"/>
        <v>0</v>
      </c>
      <c r="AN159" s="133">
        <f t="shared" si="460"/>
        <v>0</v>
      </c>
      <c r="AO159" s="133">
        <f t="shared" si="460"/>
        <v>0</v>
      </c>
      <c r="AP159" s="133">
        <f t="shared" si="460"/>
        <v>0</v>
      </c>
      <c r="AQ159" s="133">
        <f t="shared" si="460"/>
        <v>0</v>
      </c>
      <c r="AR159" s="133">
        <f t="shared" si="460"/>
        <v>0</v>
      </c>
      <c r="AS159" s="133">
        <f t="shared" si="460"/>
        <v>0</v>
      </c>
      <c r="AT159" s="133">
        <f t="shared" si="460"/>
        <v>0</v>
      </c>
      <c r="AX159" s="329">
        <f>SUM(AX150,AX151,AX152,AX153,AX154,AX155,AX156,AX157,AX158)</f>
        <v>0</v>
      </c>
      <c r="AY159" s="329">
        <f>SUM(AY150,AY151,AY152,AY153,AY154,AY155,AY156,AY157,AY158)</f>
        <v>0</v>
      </c>
    </row>
    <row r="160" spans="1:25" ht="9.75" customHeight="1">
      <c r="A160" s="11"/>
      <c r="B160" s="11"/>
      <c r="C160" s="11"/>
      <c r="D160" s="11"/>
      <c r="E160" s="11"/>
      <c r="F160" s="11"/>
      <c r="G160" s="11"/>
      <c r="H160" s="11"/>
      <c r="I160" s="50"/>
      <c r="J160" s="11"/>
      <c r="K160" s="11"/>
      <c r="L160" s="11"/>
      <c r="M160" s="11"/>
      <c r="N160" s="11"/>
      <c r="O160" s="11"/>
      <c r="P160" s="11"/>
      <c r="Q160" s="11"/>
      <c r="Y160" s="1"/>
    </row>
    <row r="161" spans="1:51" ht="18" customHeight="1">
      <c r="A161" s="39" t="s">
        <v>197</v>
      </c>
      <c r="B161" s="15"/>
      <c r="C161" s="15"/>
      <c r="D161" s="39"/>
      <c r="E161" s="39"/>
      <c r="F161" s="39" t="s">
        <v>324</v>
      </c>
      <c r="G161" s="15"/>
      <c r="H161" s="15"/>
      <c r="I161" s="52"/>
      <c r="J161" s="39" t="s">
        <v>197</v>
      </c>
      <c r="K161" s="39" t="s">
        <v>116</v>
      </c>
      <c r="L161" s="39"/>
      <c r="M161" s="15"/>
      <c r="N161" s="15"/>
      <c r="O161" s="14"/>
      <c r="P161" s="14"/>
      <c r="Q161" s="16"/>
      <c r="R161" s="39" t="s">
        <v>346</v>
      </c>
      <c r="S161" s="15"/>
      <c r="T161" s="15"/>
      <c r="U161" s="15"/>
      <c r="V161" s="14"/>
      <c r="W161" s="14"/>
      <c r="X161" s="14"/>
      <c r="Y161" s="16"/>
      <c r="Z161" s="127" t="s">
        <v>134</v>
      </c>
      <c r="AA161" s="128" t="s">
        <v>70</v>
      </c>
      <c r="AB161" s="103"/>
      <c r="AC161" s="103"/>
      <c r="AD161" s="103"/>
      <c r="AE161" s="129"/>
      <c r="AF161" s="129"/>
      <c r="AG161" s="92"/>
      <c r="AH161" s="92"/>
      <c r="AI161" s="92"/>
      <c r="AJ161" s="92"/>
      <c r="AK161" s="92"/>
      <c r="AL161" s="92"/>
      <c r="AM161" s="92"/>
      <c r="AN161" s="92"/>
      <c r="AO161" s="92"/>
      <c r="AP161" s="92"/>
      <c r="AQ161" s="92"/>
      <c r="AR161" s="92"/>
      <c r="AS161" s="92"/>
      <c r="AT161" s="95"/>
      <c r="AX161" s="93" t="s">
        <v>221</v>
      </c>
      <c r="AY161" s="93"/>
    </row>
    <row r="162" spans="1:51" ht="18" customHeight="1">
      <c r="A162" s="19" t="s">
        <v>292</v>
      </c>
      <c r="B162" s="19" t="s">
        <v>305</v>
      </c>
      <c r="C162" s="19" t="s">
        <v>320</v>
      </c>
      <c r="D162" s="35" t="s">
        <v>118</v>
      </c>
      <c r="E162" s="35" t="s">
        <v>326</v>
      </c>
      <c r="F162" s="35" t="s">
        <v>321</v>
      </c>
      <c r="G162" s="48" t="s">
        <v>323</v>
      </c>
      <c r="H162" s="43" t="s">
        <v>322</v>
      </c>
      <c r="I162" s="52"/>
      <c r="J162" s="19" t="s">
        <v>134</v>
      </c>
      <c r="K162" s="19" t="str">
        <f aca="true" t="shared" si="461" ref="K162:Q162">K149</f>
        <v>Générales</v>
      </c>
      <c r="L162" s="19" t="str">
        <f t="shared" si="461"/>
        <v>Escalier</v>
      </c>
      <c r="M162" s="19" t="str">
        <f t="shared" si="461"/>
        <v>Eau</v>
      </c>
      <c r="N162" s="19" t="str">
        <f t="shared" si="461"/>
        <v>Charge1</v>
      </c>
      <c r="O162" s="19" t="str">
        <f t="shared" si="461"/>
        <v>Charge2</v>
      </c>
      <c r="P162" s="19" t="str">
        <f t="shared" si="461"/>
        <v>Travaux</v>
      </c>
      <c r="Q162" s="19" t="str">
        <f t="shared" si="461"/>
        <v>Provision</v>
      </c>
      <c r="R162" s="19" t="s">
        <v>52</v>
      </c>
      <c r="S162" s="19" t="s">
        <v>408</v>
      </c>
      <c r="T162" s="19" t="s">
        <v>53</v>
      </c>
      <c r="U162" s="19" t="s">
        <v>300</v>
      </c>
      <c r="V162" s="13" t="s">
        <v>209</v>
      </c>
      <c r="W162" s="13" t="s">
        <v>469</v>
      </c>
      <c r="X162" s="13" t="s">
        <v>470</v>
      </c>
      <c r="Y162" s="34" t="s">
        <v>43</v>
      </c>
      <c r="Z162" s="130">
        <v>60</v>
      </c>
      <c r="AA162" s="130">
        <v>61</v>
      </c>
      <c r="AB162" s="130">
        <v>62</v>
      </c>
      <c r="AC162" s="130">
        <v>63</v>
      </c>
      <c r="AD162" s="130">
        <v>64</v>
      </c>
      <c r="AE162" s="131">
        <v>66</v>
      </c>
      <c r="AF162" s="132">
        <v>661</v>
      </c>
      <c r="AG162" s="138">
        <v>671</v>
      </c>
      <c r="AH162" s="132">
        <v>672</v>
      </c>
      <c r="AI162" s="132">
        <v>673</v>
      </c>
      <c r="AJ162" s="132">
        <v>677</v>
      </c>
      <c r="AK162" s="132">
        <v>68</v>
      </c>
      <c r="AL162" s="132">
        <v>701</v>
      </c>
      <c r="AM162" s="132">
        <v>702</v>
      </c>
      <c r="AN162" s="132">
        <v>703</v>
      </c>
      <c r="AO162" s="132">
        <v>704</v>
      </c>
      <c r="AP162" s="132">
        <v>711</v>
      </c>
      <c r="AQ162" s="132">
        <v>712</v>
      </c>
      <c r="AR162" s="132">
        <v>713</v>
      </c>
      <c r="AS162" s="132">
        <v>714</v>
      </c>
      <c r="AT162" s="93"/>
      <c r="AX162" s="93" t="s">
        <v>442</v>
      </c>
      <c r="AY162" s="93" t="s">
        <v>303</v>
      </c>
    </row>
    <row r="163" spans="1:51" ht="18" customHeight="1">
      <c r="A163" s="339"/>
      <c r="B163" s="202"/>
      <c r="C163" s="346"/>
      <c r="D163" s="203"/>
      <c r="E163" s="325"/>
      <c r="F163" s="204"/>
      <c r="G163" s="45"/>
      <c r="H163" s="45"/>
      <c r="I163" s="53"/>
      <c r="J163" s="200"/>
      <c r="K163" s="60">
        <f aca="true" t="shared" si="462" ref="K163:K171">IF(D163="Générales",C163,"")</f>
      </c>
      <c r="L163" s="60">
        <f aca="true" t="shared" si="463" ref="L163:L171">IF(D163="Escalier",C163,"")</f>
      </c>
      <c r="M163" s="60">
        <f aca="true" t="shared" si="464" ref="M163:M171">IF(D163="Eau",C163,"")</f>
      </c>
      <c r="N163" s="60">
        <f aca="true" t="shared" si="465" ref="N163:N171">IF(D163="Spéciales1",C163,"")</f>
      </c>
      <c r="O163" s="60">
        <f aca="true" t="shared" si="466" ref="O163:O171">IF(D163="Spéciales2",C163,"")</f>
      </c>
      <c r="P163" s="60">
        <f aca="true" t="shared" si="467" ref="P163:P171">IF(D163="Travaux",C163,"")</f>
      </c>
      <c r="Q163" s="60">
        <f aca="true" t="shared" si="468" ref="Q163:Q171">IF(D163="Provision",C163,"")</f>
      </c>
      <c r="R163" s="60">
        <f aca="true" t="shared" si="469" ref="R163:R171">IF(D163="Lot n°1",C163,"")</f>
      </c>
      <c r="S163" s="60">
        <f aca="true" t="shared" si="470" ref="S163:S171">IF(D163="Lot n°2",C163,"")</f>
      </c>
      <c r="T163" s="60">
        <f aca="true" t="shared" si="471" ref="T163:T171">IF(D163="Lot n°3",C163,"")</f>
      </c>
      <c r="U163" s="60">
        <f aca="true" t="shared" si="472" ref="U163:U171">IF(D163="Lot n°4",C163,"")</f>
      </c>
      <c r="V163" s="61">
        <f aca="true" t="shared" si="473" ref="V163:V171">IF(D163="Lot n°5",C163,"")</f>
      </c>
      <c r="W163" s="61">
        <f>IF(D163="Lot n°6",C163,"")</f>
      </c>
      <c r="X163" s="61">
        <f>IF(D163="Lot n°7",C163,"")</f>
      </c>
      <c r="Y163" s="60">
        <f aca="true" t="shared" si="474" ref="Y163:Y171">IF(D163="Lot n°M",C163,"")</f>
      </c>
      <c r="Z163" s="137">
        <f aca="true" t="shared" si="475" ref="Z163:Z171">IF(J163="60 Achat de matières et fournitures",C163,"")</f>
      </c>
      <c r="AA163" s="135">
        <f aca="true" t="shared" si="476" ref="AA163:AA171">IF(J163="61 Services extérieurs",C163,"")</f>
      </c>
      <c r="AB163" s="135">
        <f aca="true" t="shared" si="477" ref="AB163:AB171">IF(J163="62 Frais d'administration et honoraires",C163,"")</f>
      </c>
      <c r="AC163" s="135">
        <f aca="true" t="shared" si="478" ref="AC163:AC171">IF(J163="63 Impôts - taxes et versements assimilés",C163,"")</f>
      </c>
      <c r="AD163" s="135">
        <f aca="true" t="shared" si="479" ref="AD163:AD171">IF(J163="64 Frais de personnel",C163,"")</f>
      </c>
      <c r="AE163" s="136">
        <f aca="true" t="shared" si="480" ref="AE163:AE171">IF(J163="66 Charges financières des emprunts, agios",C163,"")</f>
      </c>
      <c r="AF163" s="135">
        <f aca="true" t="shared" si="481" ref="AF163:AF171">IF(J163="661 Rembourcement d'annuités d'emprunt",C163,"")</f>
      </c>
      <c r="AG163" s="123">
        <f aca="true" t="shared" si="482" ref="AG163:AG171">IF(J163="671 Travaux décidés par l'AG",C163,"")</f>
      </c>
      <c r="AH163" s="123">
        <f aca="true" t="shared" si="483" ref="AH163:AH171">IF(J163="672 Travaux urgents",C163,"")</f>
      </c>
      <c r="AI163" s="123">
        <f aca="true" t="shared" si="484" ref="AI163:AI171">IF(J163="673 Etudes techniques, diagnostic",C163,"")</f>
      </c>
      <c r="AJ163" s="123">
        <f aca="true" t="shared" si="485" ref="AJ163:AJ171">IF(J163="677 Pertes sur créances irrécouvrables",C163,"")</f>
      </c>
      <c r="AK163" s="123">
        <f aca="true" t="shared" si="486" ref="AK163:AK171">IF(J163="68 Dotations aux dépréciations sur créances douteuses",C163,"")</f>
      </c>
      <c r="AL163" s="123">
        <f aca="true" t="shared" si="487" ref="AL163:AL171">IF(J163="701 Provisions sur opérations courantes",C163,"")</f>
      </c>
      <c r="AM163" s="123">
        <f aca="true" t="shared" si="488" ref="AM163:AM171">IF(J163="702 Provisions pour travaux",C163,"")</f>
      </c>
      <c r="AN163" s="123">
        <f aca="true" t="shared" si="489" ref="AN163:AN171">IF(J163="703 Avances",C163,"")</f>
      </c>
      <c r="AO163" s="123">
        <f aca="true" t="shared" si="490" ref="AO163:AO171">IF(J163="704 Rembourcement d'emprunt",C163,"")</f>
      </c>
      <c r="AP163" s="123">
        <f aca="true" t="shared" si="491" ref="AP163:AP171">IF(J163="711 Subventions sur travaux",C163,"")</f>
      </c>
      <c r="AQ163" s="123">
        <f aca="true" t="shared" si="492" ref="AQ163:AQ171">IF(J163="712 Emprunts",C163,"")</f>
      </c>
      <c r="AR163" s="123">
        <f aca="true" t="shared" si="493" ref="AR163:AR171">IF(J163="713 Indemnités d'assurances",C163,"")</f>
      </c>
      <c r="AS163" s="123">
        <f aca="true" t="shared" si="494" ref="AS163:AS171">IF(J163="714 Produits divers",C163,"")</f>
      </c>
      <c r="AT163" s="93">
        <f aca="true" t="shared" si="495" ref="AT163:AT171">IF(J163="78 Reprises de dépréciations sur créance",C163,"")</f>
      </c>
      <c r="AX163" s="328">
        <f aca="true" t="shared" si="496" ref="AX163:AX171">IF(E163="Locataires",K163,"")</f>
      </c>
      <c r="AY163" s="328">
        <f aca="true" t="shared" si="497" ref="AY163:AY171">IF(E163="Locataires",L163,"")</f>
      </c>
    </row>
    <row r="164" spans="1:51" ht="18" customHeight="1">
      <c r="A164" s="339"/>
      <c r="B164" s="202"/>
      <c r="C164" s="346"/>
      <c r="D164" s="203"/>
      <c r="E164" s="325"/>
      <c r="F164" s="205"/>
      <c r="G164" s="46"/>
      <c r="H164" s="46"/>
      <c r="I164" s="53"/>
      <c r="J164" s="200"/>
      <c r="K164" s="60">
        <f t="shared" si="462"/>
      </c>
      <c r="L164" s="60">
        <f t="shared" si="463"/>
      </c>
      <c r="M164" s="60">
        <f t="shared" si="464"/>
      </c>
      <c r="N164" s="60">
        <f t="shared" si="465"/>
      </c>
      <c r="O164" s="60">
        <f t="shared" si="466"/>
      </c>
      <c r="P164" s="60">
        <f t="shared" si="467"/>
      </c>
      <c r="Q164" s="60">
        <f t="shared" si="468"/>
      </c>
      <c r="R164" s="60">
        <f t="shared" si="469"/>
      </c>
      <c r="S164" s="60">
        <f t="shared" si="470"/>
      </c>
      <c r="T164" s="60">
        <f t="shared" si="471"/>
      </c>
      <c r="U164" s="60">
        <f t="shared" si="472"/>
      </c>
      <c r="V164" s="61">
        <f t="shared" si="473"/>
      </c>
      <c r="W164" s="61">
        <f aca="true" t="shared" si="498" ref="W164:W171">IF(D164="Lot n°6",C164,"")</f>
      </c>
      <c r="X164" s="61">
        <f aca="true" t="shared" si="499" ref="X164:X171">IF(D164="Lot n°7",C164,"")</f>
      </c>
      <c r="Y164" s="60">
        <f t="shared" si="474"/>
      </c>
      <c r="Z164" s="137">
        <f t="shared" si="475"/>
      </c>
      <c r="AA164" s="135">
        <f t="shared" si="476"/>
      </c>
      <c r="AB164" s="135">
        <f t="shared" si="477"/>
      </c>
      <c r="AC164" s="135">
        <f t="shared" si="478"/>
      </c>
      <c r="AD164" s="135">
        <f t="shared" si="479"/>
      </c>
      <c r="AE164" s="136">
        <f t="shared" si="480"/>
      </c>
      <c r="AF164" s="135">
        <f t="shared" si="481"/>
      </c>
      <c r="AG164" s="123">
        <f t="shared" si="482"/>
      </c>
      <c r="AH164" s="123">
        <f t="shared" si="483"/>
      </c>
      <c r="AI164" s="123">
        <f t="shared" si="484"/>
      </c>
      <c r="AJ164" s="123">
        <f t="shared" si="485"/>
      </c>
      <c r="AK164" s="123">
        <f t="shared" si="486"/>
      </c>
      <c r="AL164" s="123">
        <f t="shared" si="487"/>
      </c>
      <c r="AM164" s="123">
        <f t="shared" si="488"/>
      </c>
      <c r="AN164" s="123">
        <f t="shared" si="489"/>
      </c>
      <c r="AO164" s="123">
        <f t="shared" si="490"/>
      </c>
      <c r="AP164" s="123">
        <f t="shared" si="491"/>
      </c>
      <c r="AQ164" s="123">
        <f t="shared" si="492"/>
      </c>
      <c r="AR164" s="123">
        <f t="shared" si="493"/>
      </c>
      <c r="AS164" s="123">
        <f t="shared" si="494"/>
      </c>
      <c r="AT164" s="93">
        <f t="shared" si="495"/>
      </c>
      <c r="AX164" s="328">
        <f t="shared" si="496"/>
      </c>
      <c r="AY164" s="328">
        <f t="shared" si="497"/>
      </c>
    </row>
    <row r="165" spans="1:51" ht="18" customHeight="1">
      <c r="A165" s="339"/>
      <c r="B165" s="202"/>
      <c r="C165" s="346"/>
      <c r="D165" s="203"/>
      <c r="E165" s="325"/>
      <c r="F165" s="205"/>
      <c r="G165" s="46"/>
      <c r="H165" s="46"/>
      <c r="I165" s="53"/>
      <c r="J165" s="200"/>
      <c r="K165" s="60">
        <f t="shared" si="462"/>
      </c>
      <c r="L165" s="60">
        <f t="shared" si="463"/>
      </c>
      <c r="M165" s="60">
        <f t="shared" si="464"/>
      </c>
      <c r="N165" s="60">
        <f t="shared" si="465"/>
      </c>
      <c r="O165" s="60">
        <f t="shared" si="466"/>
      </c>
      <c r="P165" s="60">
        <f t="shared" si="467"/>
      </c>
      <c r="Q165" s="60">
        <f t="shared" si="468"/>
      </c>
      <c r="R165" s="60">
        <f t="shared" si="469"/>
      </c>
      <c r="S165" s="60">
        <f t="shared" si="470"/>
      </c>
      <c r="T165" s="60">
        <f t="shared" si="471"/>
      </c>
      <c r="U165" s="60">
        <f t="shared" si="472"/>
      </c>
      <c r="V165" s="61">
        <f t="shared" si="473"/>
      </c>
      <c r="W165" s="61">
        <f t="shared" si="498"/>
      </c>
      <c r="X165" s="61">
        <f t="shared" si="499"/>
      </c>
      <c r="Y165" s="60">
        <f t="shared" si="474"/>
      </c>
      <c r="Z165" s="137">
        <f t="shared" si="475"/>
      </c>
      <c r="AA165" s="135">
        <f t="shared" si="476"/>
      </c>
      <c r="AB165" s="135">
        <f t="shared" si="477"/>
      </c>
      <c r="AC165" s="135">
        <f t="shared" si="478"/>
      </c>
      <c r="AD165" s="135">
        <f t="shared" si="479"/>
      </c>
      <c r="AE165" s="136">
        <f t="shared" si="480"/>
      </c>
      <c r="AF165" s="135">
        <f t="shared" si="481"/>
      </c>
      <c r="AG165" s="123">
        <f t="shared" si="482"/>
      </c>
      <c r="AH165" s="123">
        <f t="shared" si="483"/>
      </c>
      <c r="AI165" s="123">
        <f t="shared" si="484"/>
      </c>
      <c r="AJ165" s="123">
        <f t="shared" si="485"/>
      </c>
      <c r="AK165" s="123">
        <f t="shared" si="486"/>
      </c>
      <c r="AL165" s="123">
        <f t="shared" si="487"/>
      </c>
      <c r="AM165" s="123">
        <f t="shared" si="488"/>
      </c>
      <c r="AN165" s="123">
        <f t="shared" si="489"/>
      </c>
      <c r="AO165" s="123">
        <f t="shared" si="490"/>
      </c>
      <c r="AP165" s="123">
        <f t="shared" si="491"/>
      </c>
      <c r="AQ165" s="123">
        <f t="shared" si="492"/>
      </c>
      <c r="AR165" s="123">
        <f t="shared" si="493"/>
      </c>
      <c r="AS165" s="123">
        <f t="shared" si="494"/>
      </c>
      <c r="AT165" s="93">
        <f t="shared" si="495"/>
      </c>
      <c r="AX165" s="328">
        <f t="shared" si="496"/>
      </c>
      <c r="AY165" s="328">
        <f t="shared" si="497"/>
      </c>
    </row>
    <row r="166" spans="1:51" ht="18" customHeight="1">
      <c r="A166" s="339"/>
      <c r="B166" s="202"/>
      <c r="C166" s="346"/>
      <c r="D166" s="203"/>
      <c r="E166" s="325"/>
      <c r="F166" s="206"/>
      <c r="G166" s="46"/>
      <c r="H166" s="46"/>
      <c r="I166" s="53"/>
      <c r="J166" s="200"/>
      <c r="K166" s="60">
        <f t="shared" si="462"/>
      </c>
      <c r="L166" s="60">
        <f t="shared" si="463"/>
      </c>
      <c r="M166" s="60">
        <f t="shared" si="464"/>
      </c>
      <c r="N166" s="60">
        <f t="shared" si="465"/>
      </c>
      <c r="O166" s="60">
        <f t="shared" si="466"/>
      </c>
      <c r="P166" s="60">
        <f t="shared" si="467"/>
      </c>
      <c r="Q166" s="60">
        <f t="shared" si="468"/>
      </c>
      <c r="R166" s="60">
        <f t="shared" si="469"/>
      </c>
      <c r="S166" s="60">
        <f t="shared" si="470"/>
      </c>
      <c r="T166" s="60">
        <f t="shared" si="471"/>
      </c>
      <c r="U166" s="60">
        <f t="shared" si="472"/>
      </c>
      <c r="V166" s="61">
        <f t="shared" si="473"/>
      </c>
      <c r="W166" s="61">
        <f t="shared" si="498"/>
      </c>
      <c r="X166" s="61">
        <f t="shared" si="499"/>
      </c>
      <c r="Y166" s="60">
        <f t="shared" si="474"/>
      </c>
      <c r="Z166" s="137">
        <f t="shared" si="475"/>
      </c>
      <c r="AA166" s="135">
        <f t="shared" si="476"/>
      </c>
      <c r="AB166" s="135">
        <f t="shared" si="477"/>
      </c>
      <c r="AC166" s="135">
        <f t="shared" si="478"/>
      </c>
      <c r="AD166" s="135">
        <f t="shared" si="479"/>
      </c>
      <c r="AE166" s="136">
        <f t="shared" si="480"/>
      </c>
      <c r="AF166" s="135">
        <f t="shared" si="481"/>
      </c>
      <c r="AG166" s="123">
        <f t="shared" si="482"/>
      </c>
      <c r="AH166" s="123">
        <f t="shared" si="483"/>
      </c>
      <c r="AI166" s="123">
        <f t="shared" si="484"/>
      </c>
      <c r="AJ166" s="123">
        <f t="shared" si="485"/>
      </c>
      <c r="AK166" s="123">
        <f t="shared" si="486"/>
      </c>
      <c r="AL166" s="123">
        <f t="shared" si="487"/>
      </c>
      <c r="AM166" s="123">
        <f t="shared" si="488"/>
      </c>
      <c r="AN166" s="123">
        <f t="shared" si="489"/>
      </c>
      <c r="AO166" s="123">
        <f t="shared" si="490"/>
      </c>
      <c r="AP166" s="123">
        <f t="shared" si="491"/>
      </c>
      <c r="AQ166" s="123">
        <f t="shared" si="492"/>
      </c>
      <c r="AR166" s="123">
        <f t="shared" si="493"/>
      </c>
      <c r="AS166" s="123">
        <f t="shared" si="494"/>
      </c>
      <c r="AT166" s="93">
        <f t="shared" si="495"/>
      </c>
      <c r="AX166" s="328">
        <f t="shared" si="496"/>
      </c>
      <c r="AY166" s="328">
        <f t="shared" si="497"/>
      </c>
    </row>
    <row r="167" spans="1:51" ht="18" customHeight="1">
      <c r="A167" s="339"/>
      <c r="B167" s="202"/>
      <c r="C167" s="346"/>
      <c r="D167" s="203"/>
      <c r="E167" s="325"/>
      <c r="F167" s="206"/>
      <c r="G167" s="46"/>
      <c r="H167" s="46"/>
      <c r="I167" s="53"/>
      <c r="J167" s="200"/>
      <c r="K167" s="60">
        <f t="shared" si="462"/>
      </c>
      <c r="L167" s="60">
        <f t="shared" si="463"/>
      </c>
      <c r="M167" s="60">
        <f t="shared" si="464"/>
      </c>
      <c r="N167" s="60">
        <f t="shared" si="465"/>
      </c>
      <c r="O167" s="60">
        <f t="shared" si="466"/>
      </c>
      <c r="P167" s="60">
        <f t="shared" si="467"/>
      </c>
      <c r="Q167" s="60">
        <f t="shared" si="468"/>
      </c>
      <c r="R167" s="60">
        <f t="shared" si="469"/>
      </c>
      <c r="S167" s="60">
        <f t="shared" si="470"/>
      </c>
      <c r="T167" s="60">
        <f t="shared" si="471"/>
      </c>
      <c r="U167" s="60">
        <f t="shared" si="472"/>
      </c>
      <c r="V167" s="61">
        <f t="shared" si="473"/>
      </c>
      <c r="W167" s="61">
        <f t="shared" si="498"/>
      </c>
      <c r="X167" s="61">
        <f t="shared" si="499"/>
      </c>
      <c r="Y167" s="60">
        <f t="shared" si="474"/>
      </c>
      <c r="Z167" s="137">
        <f t="shared" si="475"/>
      </c>
      <c r="AA167" s="135">
        <f t="shared" si="476"/>
      </c>
      <c r="AB167" s="135">
        <f t="shared" si="477"/>
      </c>
      <c r="AC167" s="135">
        <f t="shared" si="478"/>
      </c>
      <c r="AD167" s="135">
        <f t="shared" si="479"/>
      </c>
      <c r="AE167" s="136">
        <f t="shared" si="480"/>
      </c>
      <c r="AF167" s="135">
        <f t="shared" si="481"/>
      </c>
      <c r="AG167" s="123">
        <f t="shared" si="482"/>
      </c>
      <c r="AH167" s="123">
        <f t="shared" si="483"/>
      </c>
      <c r="AI167" s="123">
        <f t="shared" si="484"/>
      </c>
      <c r="AJ167" s="123">
        <f t="shared" si="485"/>
      </c>
      <c r="AK167" s="123">
        <f t="shared" si="486"/>
      </c>
      <c r="AL167" s="123">
        <f t="shared" si="487"/>
      </c>
      <c r="AM167" s="123">
        <f t="shared" si="488"/>
      </c>
      <c r="AN167" s="123">
        <f t="shared" si="489"/>
      </c>
      <c r="AO167" s="123">
        <f t="shared" si="490"/>
      </c>
      <c r="AP167" s="123">
        <f t="shared" si="491"/>
      </c>
      <c r="AQ167" s="123">
        <f t="shared" si="492"/>
      </c>
      <c r="AR167" s="123">
        <f t="shared" si="493"/>
      </c>
      <c r="AS167" s="123">
        <f t="shared" si="494"/>
      </c>
      <c r="AT167" s="93">
        <f t="shared" si="495"/>
      </c>
      <c r="AX167" s="328">
        <f t="shared" si="496"/>
      </c>
      <c r="AY167" s="328">
        <f t="shared" si="497"/>
      </c>
    </row>
    <row r="168" spans="1:51" ht="18" customHeight="1">
      <c r="A168" s="339"/>
      <c r="B168" s="202"/>
      <c r="C168" s="346"/>
      <c r="D168" s="203"/>
      <c r="E168" s="325"/>
      <c r="F168" s="206"/>
      <c r="G168" s="46"/>
      <c r="H168" s="46"/>
      <c r="I168" s="53"/>
      <c r="J168" s="200"/>
      <c r="K168" s="60">
        <f t="shared" si="462"/>
      </c>
      <c r="L168" s="60">
        <f t="shared" si="463"/>
      </c>
      <c r="M168" s="60">
        <f t="shared" si="464"/>
      </c>
      <c r="N168" s="60">
        <f t="shared" si="465"/>
      </c>
      <c r="O168" s="60">
        <f t="shared" si="466"/>
      </c>
      <c r="P168" s="60">
        <f t="shared" si="467"/>
      </c>
      <c r="Q168" s="60">
        <f t="shared" si="468"/>
      </c>
      <c r="R168" s="60">
        <f t="shared" si="469"/>
      </c>
      <c r="S168" s="60">
        <f t="shared" si="470"/>
      </c>
      <c r="T168" s="60">
        <f t="shared" si="471"/>
      </c>
      <c r="U168" s="60">
        <f t="shared" si="472"/>
      </c>
      <c r="V168" s="61">
        <f t="shared" si="473"/>
      </c>
      <c r="W168" s="61">
        <f t="shared" si="498"/>
      </c>
      <c r="X168" s="61">
        <f t="shared" si="499"/>
      </c>
      <c r="Y168" s="60">
        <f t="shared" si="474"/>
      </c>
      <c r="Z168" s="137">
        <f t="shared" si="475"/>
      </c>
      <c r="AA168" s="135">
        <f t="shared" si="476"/>
      </c>
      <c r="AB168" s="135">
        <f t="shared" si="477"/>
      </c>
      <c r="AC168" s="135">
        <f t="shared" si="478"/>
      </c>
      <c r="AD168" s="135">
        <f t="shared" si="479"/>
      </c>
      <c r="AE168" s="136">
        <f t="shared" si="480"/>
      </c>
      <c r="AF168" s="135">
        <f t="shared" si="481"/>
      </c>
      <c r="AG168" s="123">
        <f t="shared" si="482"/>
      </c>
      <c r="AH168" s="123">
        <f t="shared" si="483"/>
      </c>
      <c r="AI168" s="123">
        <f t="shared" si="484"/>
      </c>
      <c r="AJ168" s="123">
        <f t="shared" si="485"/>
      </c>
      <c r="AK168" s="123">
        <f t="shared" si="486"/>
      </c>
      <c r="AL168" s="123">
        <f t="shared" si="487"/>
      </c>
      <c r="AM168" s="123">
        <f t="shared" si="488"/>
      </c>
      <c r="AN168" s="123">
        <f t="shared" si="489"/>
      </c>
      <c r="AO168" s="123">
        <f t="shared" si="490"/>
      </c>
      <c r="AP168" s="123">
        <f t="shared" si="491"/>
      </c>
      <c r="AQ168" s="123">
        <f t="shared" si="492"/>
      </c>
      <c r="AR168" s="123">
        <f t="shared" si="493"/>
      </c>
      <c r="AS168" s="123">
        <f t="shared" si="494"/>
      </c>
      <c r="AT168" s="93">
        <f t="shared" si="495"/>
      </c>
      <c r="AX168" s="328">
        <f t="shared" si="496"/>
      </c>
      <c r="AY168" s="328">
        <f t="shared" si="497"/>
      </c>
    </row>
    <row r="169" spans="1:51" ht="18.75" customHeight="1">
      <c r="A169" s="339"/>
      <c r="B169" s="202"/>
      <c r="C169" s="346"/>
      <c r="D169" s="203"/>
      <c r="E169" s="325"/>
      <c r="F169" s="206"/>
      <c r="G169" s="46"/>
      <c r="H169" s="46"/>
      <c r="I169" s="53"/>
      <c r="J169" s="200"/>
      <c r="K169" s="60">
        <f t="shared" si="462"/>
      </c>
      <c r="L169" s="60">
        <f t="shared" si="463"/>
      </c>
      <c r="M169" s="60">
        <f t="shared" si="464"/>
      </c>
      <c r="N169" s="60">
        <f t="shared" si="465"/>
      </c>
      <c r="O169" s="60">
        <f t="shared" si="466"/>
      </c>
      <c r="P169" s="60">
        <f t="shared" si="467"/>
      </c>
      <c r="Q169" s="60">
        <f t="shared" si="468"/>
      </c>
      <c r="R169" s="60">
        <f t="shared" si="469"/>
      </c>
      <c r="S169" s="60">
        <f t="shared" si="470"/>
      </c>
      <c r="T169" s="60">
        <f t="shared" si="471"/>
      </c>
      <c r="U169" s="60">
        <f t="shared" si="472"/>
      </c>
      <c r="V169" s="61">
        <f t="shared" si="473"/>
      </c>
      <c r="W169" s="61">
        <f t="shared" si="498"/>
      </c>
      <c r="X169" s="61">
        <f t="shared" si="499"/>
      </c>
      <c r="Y169" s="60">
        <f t="shared" si="474"/>
      </c>
      <c r="Z169" s="137">
        <f t="shared" si="475"/>
      </c>
      <c r="AA169" s="135">
        <f t="shared" si="476"/>
      </c>
      <c r="AB169" s="135">
        <f t="shared" si="477"/>
      </c>
      <c r="AC169" s="135">
        <f t="shared" si="478"/>
      </c>
      <c r="AD169" s="135">
        <f t="shared" si="479"/>
      </c>
      <c r="AE169" s="136">
        <f t="shared" si="480"/>
      </c>
      <c r="AF169" s="135">
        <f t="shared" si="481"/>
      </c>
      <c r="AG169" s="123">
        <f t="shared" si="482"/>
      </c>
      <c r="AH169" s="123">
        <f t="shared" si="483"/>
      </c>
      <c r="AI169" s="123">
        <f t="shared" si="484"/>
      </c>
      <c r="AJ169" s="123">
        <f t="shared" si="485"/>
      </c>
      <c r="AK169" s="123">
        <f t="shared" si="486"/>
      </c>
      <c r="AL169" s="123">
        <f t="shared" si="487"/>
      </c>
      <c r="AM169" s="123">
        <f t="shared" si="488"/>
      </c>
      <c r="AN169" s="123">
        <f t="shared" si="489"/>
      </c>
      <c r="AO169" s="123">
        <f t="shared" si="490"/>
      </c>
      <c r="AP169" s="123">
        <f t="shared" si="491"/>
      </c>
      <c r="AQ169" s="123">
        <f t="shared" si="492"/>
      </c>
      <c r="AR169" s="123">
        <f t="shared" si="493"/>
      </c>
      <c r="AS169" s="123">
        <f t="shared" si="494"/>
      </c>
      <c r="AT169" s="93">
        <f t="shared" si="495"/>
      </c>
      <c r="AX169" s="328">
        <f t="shared" si="496"/>
      </c>
      <c r="AY169" s="328">
        <f t="shared" si="497"/>
      </c>
    </row>
    <row r="170" spans="1:51" ht="18.75" customHeight="1">
      <c r="A170" s="339"/>
      <c r="B170" s="202"/>
      <c r="C170" s="346"/>
      <c r="D170" s="203"/>
      <c r="E170" s="325"/>
      <c r="F170" s="206"/>
      <c r="G170" s="46"/>
      <c r="H170" s="46"/>
      <c r="I170" s="53"/>
      <c r="J170" s="200"/>
      <c r="K170" s="60">
        <f t="shared" si="462"/>
      </c>
      <c r="L170" s="60">
        <f t="shared" si="463"/>
      </c>
      <c r="M170" s="60">
        <f t="shared" si="464"/>
      </c>
      <c r="N170" s="60">
        <f t="shared" si="465"/>
      </c>
      <c r="O170" s="60">
        <f t="shared" si="466"/>
      </c>
      <c r="P170" s="60">
        <f t="shared" si="467"/>
      </c>
      <c r="Q170" s="60">
        <f t="shared" si="468"/>
      </c>
      <c r="R170" s="60">
        <f t="shared" si="469"/>
      </c>
      <c r="S170" s="60">
        <f t="shared" si="470"/>
      </c>
      <c r="T170" s="60">
        <f t="shared" si="471"/>
      </c>
      <c r="U170" s="60">
        <f t="shared" si="472"/>
      </c>
      <c r="V170" s="61">
        <f t="shared" si="473"/>
      </c>
      <c r="W170" s="61">
        <f t="shared" si="498"/>
      </c>
      <c r="X170" s="61">
        <f t="shared" si="499"/>
      </c>
      <c r="Y170" s="60">
        <f t="shared" si="474"/>
      </c>
      <c r="Z170" s="137">
        <f t="shared" si="475"/>
      </c>
      <c r="AA170" s="135">
        <f t="shared" si="476"/>
      </c>
      <c r="AB170" s="135">
        <f t="shared" si="477"/>
      </c>
      <c r="AC170" s="135">
        <f t="shared" si="478"/>
      </c>
      <c r="AD170" s="135">
        <f t="shared" si="479"/>
      </c>
      <c r="AE170" s="136">
        <f t="shared" si="480"/>
      </c>
      <c r="AF170" s="135">
        <f t="shared" si="481"/>
      </c>
      <c r="AG170" s="123">
        <f t="shared" si="482"/>
      </c>
      <c r="AH170" s="123">
        <f t="shared" si="483"/>
      </c>
      <c r="AI170" s="123">
        <f t="shared" si="484"/>
      </c>
      <c r="AJ170" s="123">
        <f t="shared" si="485"/>
      </c>
      <c r="AK170" s="123">
        <f t="shared" si="486"/>
      </c>
      <c r="AL170" s="123">
        <f t="shared" si="487"/>
      </c>
      <c r="AM170" s="123">
        <f t="shared" si="488"/>
      </c>
      <c r="AN170" s="123">
        <f t="shared" si="489"/>
      </c>
      <c r="AO170" s="123">
        <f t="shared" si="490"/>
      </c>
      <c r="AP170" s="123">
        <f t="shared" si="491"/>
      </c>
      <c r="AQ170" s="123">
        <f t="shared" si="492"/>
      </c>
      <c r="AR170" s="123">
        <f t="shared" si="493"/>
      </c>
      <c r="AS170" s="123">
        <f t="shared" si="494"/>
      </c>
      <c r="AT170" s="93">
        <f t="shared" si="495"/>
      </c>
      <c r="AX170" s="328">
        <f t="shared" si="496"/>
      </c>
      <c r="AY170" s="328">
        <f t="shared" si="497"/>
      </c>
    </row>
    <row r="171" spans="1:51" ht="18.75" customHeight="1">
      <c r="A171" s="339"/>
      <c r="B171" s="202"/>
      <c r="C171" s="346"/>
      <c r="D171" s="203"/>
      <c r="E171" s="325"/>
      <c r="F171" s="207"/>
      <c r="G171" s="47"/>
      <c r="H171" s="46"/>
      <c r="I171" s="53"/>
      <c r="J171" s="200"/>
      <c r="K171" s="60">
        <f t="shared" si="462"/>
      </c>
      <c r="L171" s="60">
        <f t="shared" si="463"/>
      </c>
      <c r="M171" s="60">
        <f t="shared" si="464"/>
      </c>
      <c r="N171" s="60">
        <f t="shared" si="465"/>
      </c>
      <c r="O171" s="60">
        <f t="shared" si="466"/>
      </c>
      <c r="P171" s="60">
        <f t="shared" si="467"/>
      </c>
      <c r="Q171" s="60">
        <f t="shared" si="468"/>
      </c>
      <c r="R171" s="60">
        <f t="shared" si="469"/>
      </c>
      <c r="S171" s="60">
        <f t="shared" si="470"/>
      </c>
      <c r="T171" s="60">
        <f t="shared" si="471"/>
      </c>
      <c r="U171" s="60">
        <f t="shared" si="472"/>
      </c>
      <c r="V171" s="61">
        <f t="shared" si="473"/>
      </c>
      <c r="W171" s="61">
        <f t="shared" si="498"/>
      </c>
      <c r="X171" s="61">
        <f t="shared" si="499"/>
      </c>
      <c r="Y171" s="60">
        <f t="shared" si="474"/>
      </c>
      <c r="Z171" s="137">
        <f t="shared" si="475"/>
      </c>
      <c r="AA171" s="135">
        <f t="shared" si="476"/>
      </c>
      <c r="AB171" s="135">
        <f t="shared" si="477"/>
      </c>
      <c r="AC171" s="135">
        <f t="shared" si="478"/>
      </c>
      <c r="AD171" s="135">
        <f t="shared" si="479"/>
      </c>
      <c r="AE171" s="136">
        <f t="shared" si="480"/>
      </c>
      <c r="AF171" s="135">
        <f t="shared" si="481"/>
      </c>
      <c r="AG171" s="123">
        <f t="shared" si="482"/>
      </c>
      <c r="AH171" s="123">
        <f t="shared" si="483"/>
      </c>
      <c r="AI171" s="123">
        <f t="shared" si="484"/>
      </c>
      <c r="AJ171" s="123">
        <f t="shared" si="485"/>
      </c>
      <c r="AK171" s="123">
        <f t="shared" si="486"/>
      </c>
      <c r="AL171" s="123">
        <f t="shared" si="487"/>
      </c>
      <c r="AM171" s="123">
        <f t="shared" si="488"/>
      </c>
      <c r="AN171" s="123">
        <f t="shared" si="489"/>
      </c>
      <c r="AO171" s="123">
        <f t="shared" si="490"/>
      </c>
      <c r="AP171" s="123">
        <f t="shared" si="491"/>
      </c>
      <c r="AQ171" s="123">
        <f t="shared" si="492"/>
      </c>
      <c r="AR171" s="123">
        <f t="shared" si="493"/>
      </c>
      <c r="AS171" s="123">
        <f t="shared" si="494"/>
      </c>
      <c r="AT171" s="93">
        <f t="shared" si="495"/>
      </c>
      <c r="AX171" s="328">
        <f t="shared" si="496"/>
      </c>
      <c r="AY171" s="328">
        <f t="shared" si="497"/>
      </c>
    </row>
    <row r="172" spans="1:51" ht="18.75" customHeight="1">
      <c r="A172" s="40" t="s">
        <v>117</v>
      </c>
      <c r="B172" s="29"/>
      <c r="C172" s="41">
        <f>SUM(C163,C164,C165,C166,C167,C168,C169,C170,C171)</f>
        <v>0</v>
      </c>
      <c r="D172" s="36">
        <f>D159+C172</f>
        <v>0</v>
      </c>
      <c r="E172" s="327"/>
      <c r="F172" s="203"/>
      <c r="G172" s="49">
        <f>'Comptes Lots'!B16+'Comptes Lots'!B39+'Comptes Lots'!B62+'Comptes Lots'!B85+'Comptes Lots'!B108+'Comptes Lots'!B131+'Comptes Lots'!B154+'Comptes Lots'!B177</f>
        <v>0</v>
      </c>
      <c r="H172" s="41">
        <f>H159+'Comptes Lots'!I16+'Comptes Lots'!I39+'Comptes Lots'!I62+'Comptes Lots'!I85+'Comptes Lots'!I108+'Comptes Lots'!I131+'Comptes Lots'!I154+'Comptes Lots'!I177</f>
        <v>0</v>
      </c>
      <c r="I172" s="64"/>
      <c r="J172" s="40" t="s">
        <v>117</v>
      </c>
      <c r="K172" s="41">
        <f aca="true" t="shared" si="500" ref="K172:Q172">SUM(K163,K164,K165,K166,K167,K168,K169,K170,K171)</f>
        <v>0</v>
      </c>
      <c r="L172" s="41">
        <f t="shared" si="500"/>
        <v>0</v>
      </c>
      <c r="M172" s="41">
        <f t="shared" si="500"/>
        <v>0</v>
      </c>
      <c r="N172" s="41">
        <f t="shared" si="500"/>
        <v>0</v>
      </c>
      <c r="O172" s="41">
        <f t="shared" si="500"/>
        <v>0</v>
      </c>
      <c r="P172" s="41">
        <f t="shared" si="500"/>
        <v>0</v>
      </c>
      <c r="Q172" s="41">
        <f t="shared" si="500"/>
        <v>0</v>
      </c>
      <c r="R172" s="41">
        <f aca="true" t="shared" si="501" ref="R172:Y172">SUM(R163,R164,R165,R166,R167,R168,R169,R170,R171)</f>
        <v>0</v>
      </c>
      <c r="S172" s="41">
        <f t="shared" si="501"/>
        <v>0</v>
      </c>
      <c r="T172" s="41">
        <f t="shared" si="501"/>
        <v>0</v>
      </c>
      <c r="U172" s="41">
        <f t="shared" si="501"/>
        <v>0</v>
      </c>
      <c r="V172" s="42">
        <f t="shared" si="501"/>
        <v>0</v>
      </c>
      <c r="W172" s="42">
        <f t="shared" si="501"/>
        <v>0</v>
      </c>
      <c r="X172" s="42">
        <f t="shared" si="501"/>
        <v>0</v>
      </c>
      <c r="Y172" s="41">
        <f t="shared" si="501"/>
        <v>0</v>
      </c>
      <c r="Z172" s="133">
        <f aca="true" t="shared" si="502" ref="Z172:AT172">SUM(Z163,Z164,Z165,Z166,Z167,Z168,Z169,Z170,Z171)</f>
        <v>0</v>
      </c>
      <c r="AA172" s="133">
        <f t="shared" si="502"/>
        <v>0</v>
      </c>
      <c r="AB172" s="133">
        <f t="shared" si="502"/>
        <v>0</v>
      </c>
      <c r="AC172" s="133">
        <f t="shared" si="502"/>
        <v>0</v>
      </c>
      <c r="AD172" s="133">
        <f t="shared" si="502"/>
        <v>0</v>
      </c>
      <c r="AE172" s="134">
        <f t="shared" si="502"/>
        <v>0</v>
      </c>
      <c r="AF172" s="133">
        <f t="shared" si="502"/>
        <v>0</v>
      </c>
      <c r="AG172" s="133">
        <f t="shared" si="502"/>
        <v>0</v>
      </c>
      <c r="AH172" s="133">
        <f t="shared" si="502"/>
        <v>0</v>
      </c>
      <c r="AI172" s="133">
        <f t="shared" si="502"/>
        <v>0</v>
      </c>
      <c r="AJ172" s="133">
        <f t="shared" si="502"/>
        <v>0</v>
      </c>
      <c r="AK172" s="133">
        <f t="shared" si="502"/>
        <v>0</v>
      </c>
      <c r="AL172" s="133">
        <f t="shared" si="502"/>
        <v>0</v>
      </c>
      <c r="AM172" s="134">
        <f t="shared" si="502"/>
        <v>0</v>
      </c>
      <c r="AN172" s="133">
        <f t="shared" si="502"/>
        <v>0</v>
      </c>
      <c r="AO172" s="133">
        <f t="shared" si="502"/>
        <v>0</v>
      </c>
      <c r="AP172" s="133">
        <f t="shared" si="502"/>
        <v>0</v>
      </c>
      <c r="AQ172" s="133">
        <f t="shared" si="502"/>
        <v>0</v>
      </c>
      <c r="AR172" s="133">
        <f t="shared" si="502"/>
        <v>0</v>
      </c>
      <c r="AS172" s="133">
        <f t="shared" si="502"/>
        <v>0</v>
      </c>
      <c r="AT172" s="133">
        <f t="shared" si="502"/>
        <v>0</v>
      </c>
      <c r="AX172" s="329">
        <f>SUM(AX163,AX164,AX165,AX166,AX167,AX168,AX169,AX170,AX171)</f>
        <v>0</v>
      </c>
      <c r="AY172" s="329">
        <f>SUM(AY163,AY164,AY165,AY166,AY167,AY168,AY169,AY170,AY171)</f>
        <v>0</v>
      </c>
    </row>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sheetData>
  <sheetProtection/>
  <dataValidations count="3">
    <dataValidation type="list" allowBlank="1" showInputMessage="1" showErrorMessage="1" sqref="D137:D145 D8:D16 D21:D29 D64:D72 D77:D85 D34:D42 D107:D115 D120:D128 D51:D59 D150:D158 D94:D102 D163:D171">
      <formula1>Ventillation</formula1>
    </dataValidation>
    <dataValidation type="list" allowBlank="1" showInputMessage="1" showErrorMessage="1" sqref="J8:J16 J21:J29 J34:J42 J51:J59 J64:J72 J77:J85 J94:J102 J107:J115 J120:J128 J137:J145 J150:J158 J163:J171">
      <formula1>Comptable</formula1>
    </dataValidation>
    <dataValidation type="list" allowBlank="1" showInputMessage="1" showErrorMessage="1" sqref="E8:E16 E21:E29 E34:E42 E51:E59 E64:E72 E77:E85 E94:E102 E107:E115 E120:E128 E137:E145 E150:E158 E163:E171">
      <formula1>Propriétaires</formula1>
    </dataValidation>
  </dataValidations>
  <printOptions/>
  <pageMargins left="0.2755905511811024" right="0.2755905511811024" top="0.2755905511811024" bottom="0.2755905511811024" header="0.5118110236220472" footer="0.5118110236220472"/>
  <pageSetup blackAndWhite="1" orientation="portrait" pageOrder="overThenDown" paperSize="9" r:id="rId4"/>
  <headerFooter alignWithMargins="0">
    <oddFooter>&amp;R
&amp;P/&amp;N</oddFooter>
  </headerFooter>
  <rowBreaks count="3" manualBreakCount="3">
    <brk id="43" max="255" man="1"/>
    <brk id="86" max="255" man="1"/>
    <brk id="129" max="255" man="1"/>
  </rowBreaks>
  <ignoredErrors>
    <ignoredError sqref="C17" emptyCellReference="1"/>
  </ignoredErrors>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L183"/>
  <sheetViews>
    <sheetView showGridLines="0" zoomScalePageLayoutView="0" workbookViewId="0" topLeftCell="A1">
      <selection activeCell="K162" sqref="K162"/>
    </sheetView>
  </sheetViews>
  <sheetFormatPr defaultColWidth="11.421875" defaultRowHeight="19.5" customHeight="1"/>
  <cols>
    <col min="1" max="1" width="13.8515625" style="0" customWidth="1"/>
    <col min="2" max="2" width="12.28125" style="0" customWidth="1"/>
    <col min="3" max="7" width="12.8515625" style="0" customWidth="1"/>
    <col min="8" max="8" width="12.8515625" style="156" customWidth="1"/>
    <col min="9" max="10" width="12.8515625" style="0" customWidth="1"/>
  </cols>
  <sheetData>
    <row r="1" spans="1:12" ht="19.5" customHeight="1">
      <c r="A1" s="9" t="s">
        <v>268</v>
      </c>
      <c r="B1" s="11"/>
      <c r="C1" s="11"/>
      <c r="D1" s="11"/>
      <c r="E1" s="11"/>
      <c r="F1" s="11"/>
      <c r="G1" s="11"/>
      <c r="H1" s="11"/>
      <c r="I1" s="11"/>
      <c r="J1" s="32" t="str">
        <f>Copropriété!A2</f>
        <v>Exercice 2015</v>
      </c>
      <c r="K1" s="32"/>
      <c r="L1" s="32"/>
    </row>
    <row r="2" spans="1:9" ht="19.5" customHeight="1">
      <c r="A2" s="11"/>
      <c r="B2" s="11"/>
      <c r="C2" s="11"/>
      <c r="D2" s="11"/>
      <c r="E2" s="11"/>
      <c r="F2" s="11"/>
      <c r="G2" s="11"/>
      <c r="H2" s="11"/>
      <c r="I2" s="11"/>
    </row>
    <row r="3" spans="1:9" ht="19.5" customHeight="1">
      <c r="A3" s="12"/>
      <c r="B3" s="19" t="s">
        <v>411</v>
      </c>
      <c r="C3" s="19" t="str">
        <f>Copropriété!D4</f>
        <v>Générales</v>
      </c>
      <c r="D3" s="19" t="str">
        <f>Copropriété!E4</f>
        <v>Escalier</v>
      </c>
      <c r="E3" s="19" t="str">
        <f>Copropriété!F4</f>
        <v>Eau</v>
      </c>
      <c r="F3" s="19" t="str">
        <f>Copropriété!G4</f>
        <v>Charge1</v>
      </c>
      <c r="G3" s="19" t="str">
        <f>Copropriété!H4</f>
        <v>Charge2</v>
      </c>
      <c r="H3" s="19" t="str">
        <f>Copropriété!I4</f>
        <v>Travaux</v>
      </c>
      <c r="I3" s="19" t="str">
        <f>Copropriété!J4</f>
        <v>Provision</v>
      </c>
    </row>
    <row r="4" spans="1:10" ht="19.5" customHeight="1">
      <c r="A4" s="44" t="s">
        <v>391</v>
      </c>
      <c r="B4" s="316">
        <v>0</v>
      </c>
      <c r="C4" s="317"/>
      <c r="D4" s="318"/>
      <c r="E4" s="318"/>
      <c r="F4" s="318"/>
      <c r="G4" s="319"/>
      <c r="H4" s="330"/>
      <c r="I4" s="320">
        <v>0</v>
      </c>
      <c r="J4" s="321" t="s">
        <v>451</v>
      </c>
    </row>
    <row r="5" spans="1:10" ht="19.5" customHeight="1">
      <c r="A5" s="33" t="s">
        <v>369</v>
      </c>
      <c r="B5" s="166">
        <f aca="true" t="shared" si="0" ref="B5:B16">B4+(C5+D5+E5+F5+G5+H5+I5)+J5</f>
        <v>0</v>
      </c>
      <c r="C5" s="157">
        <f>'Livre de compte'!K17*Copropriété!D6/Copropriété!D10</f>
        <v>0</v>
      </c>
      <c r="D5" s="157">
        <f>'Livre de compte'!L17*Copropriété!E6/Copropriété!E10</f>
        <v>0</v>
      </c>
      <c r="E5" s="157">
        <f>'Livre de compte'!M17*Copropriété!F6/Copropriété!F10</f>
        <v>0</v>
      </c>
      <c r="F5" s="157">
        <f>'Livre de compte'!N17*Copropriété!G6/Copropriété!G10</f>
        <v>0</v>
      </c>
      <c r="G5" s="157">
        <f>'Livre de compte'!O17*Copropriété!H6/Copropriété!H10</f>
        <v>0</v>
      </c>
      <c r="H5" s="157">
        <f>'Livre de compte'!P17*Copropriété!I6/Copropriété!I10</f>
        <v>0</v>
      </c>
      <c r="I5" s="166">
        <f>'Livre de compte'!Q17*Copropriété!J6/Copropriété!J10</f>
        <v>0</v>
      </c>
      <c r="J5" s="166">
        <f>'Livre de compte'!R17</f>
        <v>0</v>
      </c>
    </row>
    <row r="6" spans="1:10" ht="19.5" customHeight="1">
      <c r="A6" s="33" t="s">
        <v>135</v>
      </c>
      <c r="B6" s="166">
        <f t="shared" si="0"/>
        <v>0</v>
      </c>
      <c r="C6" s="166">
        <f>'Livre de compte'!K30*Copropriété!D6/Copropriété!D10</f>
        <v>0</v>
      </c>
      <c r="D6" s="166">
        <f>'Livre de compte'!L30*Copropriété!E6/Copropriété!E10</f>
        <v>0</v>
      </c>
      <c r="E6" s="166">
        <f>'Livre de compte'!M30*Copropriété!F6/Copropriété!F10</f>
        <v>0</v>
      </c>
      <c r="F6" s="166">
        <f>'Livre de compte'!N30*Copropriété!G6/Copropriété!G10</f>
        <v>0</v>
      </c>
      <c r="G6" s="166">
        <f>'Livre de compte'!O30*Copropriété!H6/Copropriété!H10</f>
        <v>0</v>
      </c>
      <c r="H6" s="166">
        <f>'Livre de compte'!P30*Copropriété!I6/Copropriété!I10</f>
        <v>0</v>
      </c>
      <c r="I6" s="166">
        <f>'Livre de compte'!Q30*Copropriété!J6/Copropriété!J10</f>
        <v>0</v>
      </c>
      <c r="J6" s="166">
        <f>'Livre de compte'!R30</f>
        <v>0</v>
      </c>
    </row>
    <row r="7" spans="1:10" ht="19.5" customHeight="1">
      <c r="A7" s="33" t="s">
        <v>393</v>
      </c>
      <c r="B7" s="166">
        <f t="shared" si="0"/>
        <v>0</v>
      </c>
      <c r="C7" s="166">
        <f>'Livre de compte'!K43*Copropriété!D6/Copropriété!D10</f>
        <v>0</v>
      </c>
      <c r="D7" s="166">
        <f>'Livre de compte'!L43*Copropriété!E6/Copropriété!E10</f>
        <v>0</v>
      </c>
      <c r="E7" s="166">
        <f>'Livre de compte'!M43*Copropriété!F6/Copropriété!F10</f>
        <v>0</v>
      </c>
      <c r="F7" s="166">
        <f>'Livre de compte'!N43*Copropriété!G6/Copropriété!G10</f>
        <v>0</v>
      </c>
      <c r="G7" s="166">
        <f>'Livre de compte'!O43*Copropriété!H6/Copropriété!H10</f>
        <v>0</v>
      </c>
      <c r="H7" s="166">
        <f>'Livre de compte'!P43*Copropriété!I6/Copropriété!I10</f>
        <v>0</v>
      </c>
      <c r="I7" s="166">
        <f>'Livre de compte'!Q43*Copropriété!J6/Copropriété!J10</f>
        <v>0</v>
      </c>
      <c r="J7" s="166">
        <f>'Livre de compte'!R43</f>
        <v>0</v>
      </c>
    </row>
    <row r="8" spans="1:10" ht="19.5" customHeight="1">
      <c r="A8" s="33" t="s">
        <v>288</v>
      </c>
      <c r="B8" s="166">
        <f t="shared" si="0"/>
        <v>0</v>
      </c>
      <c r="C8" s="166">
        <f>'Livre de compte'!K60*Copropriété!D6/Copropriété!D10</f>
        <v>0</v>
      </c>
      <c r="D8" s="166">
        <f>'Livre de compte'!L60*Copropriété!E6/Copropriété!E10</f>
        <v>0</v>
      </c>
      <c r="E8" s="166">
        <f>'Livre de compte'!M60*Copropriété!F6/Copropriété!F10</f>
        <v>0</v>
      </c>
      <c r="F8" s="166">
        <f>'Livre de compte'!N60*Copropriété!G6/Copropriété!G10</f>
        <v>0</v>
      </c>
      <c r="G8" s="166">
        <f>'Livre de compte'!O60*Copropriété!H6/Copropriété!H10</f>
        <v>0</v>
      </c>
      <c r="H8" s="166">
        <f>'Livre de compte'!P60*Copropriété!I6/Copropriété!I10</f>
        <v>0</v>
      </c>
      <c r="I8" s="166">
        <f>'Livre de compte'!Q60*Copropriété!J6/Copropriété!J10</f>
        <v>0</v>
      </c>
      <c r="J8" s="166">
        <f>'Livre de compte'!R60</f>
        <v>0</v>
      </c>
    </row>
    <row r="9" spans="1:10" ht="19.5" customHeight="1">
      <c r="A9" s="33" t="s">
        <v>281</v>
      </c>
      <c r="B9" s="166">
        <f t="shared" si="0"/>
        <v>0</v>
      </c>
      <c r="C9" s="166">
        <f>'Livre de compte'!K73*Copropriété!D6/Copropriété!D10</f>
        <v>0</v>
      </c>
      <c r="D9" s="166">
        <f>'Livre de compte'!L73*Copropriété!E6/Copropriété!E10</f>
        <v>0</v>
      </c>
      <c r="E9" s="166">
        <f>'Livre de compte'!M73*Copropriété!F6/Copropriété!F10</f>
        <v>0</v>
      </c>
      <c r="F9" s="166">
        <f>'Livre de compte'!N73*Copropriété!G6/Copropriété!G10</f>
        <v>0</v>
      </c>
      <c r="G9" s="166">
        <f>'Livre de compte'!O73*Copropriété!H6/Copropriété!H10</f>
        <v>0</v>
      </c>
      <c r="H9" s="166">
        <f>'Livre de compte'!P73*Copropriété!I6/Copropriété!I10</f>
        <v>0</v>
      </c>
      <c r="I9" s="166">
        <f>'Livre de compte'!Q73*Copropriété!J6/Copropriété!J10</f>
        <v>0</v>
      </c>
      <c r="J9" s="166">
        <f>'Livre de compte'!R73</f>
        <v>0</v>
      </c>
    </row>
    <row r="10" spans="1:10" ht="19.5" customHeight="1">
      <c r="A10" s="33" t="s">
        <v>189</v>
      </c>
      <c r="B10" s="166">
        <f t="shared" si="0"/>
        <v>0</v>
      </c>
      <c r="C10" s="166">
        <f>'Livre de compte'!K86*Copropriété!D6/Copropriété!D10</f>
        <v>0</v>
      </c>
      <c r="D10" s="166">
        <f>'Livre de compte'!L86*Copropriété!E6/Copropriété!E10</f>
        <v>0</v>
      </c>
      <c r="E10" s="166">
        <f>'Livre de compte'!M86*Copropriété!F6/Copropriété!F10</f>
        <v>0</v>
      </c>
      <c r="F10" s="166">
        <f>'Livre de compte'!N86*Copropriété!G6/Copropriété!G10</f>
        <v>0</v>
      </c>
      <c r="G10" s="166">
        <f>'Livre de compte'!O86*Copropriété!H6/Copropriété!H10</f>
        <v>0</v>
      </c>
      <c r="H10" s="166">
        <f>'Livre de compte'!P86*Copropriété!I6/Copropriété!I10</f>
        <v>0</v>
      </c>
      <c r="I10" s="166">
        <f>'Livre de compte'!Q86*Copropriété!J6/Copropriété!J10</f>
        <v>0</v>
      </c>
      <c r="J10" s="166">
        <f>'Livre de compte'!R86</f>
        <v>0</v>
      </c>
    </row>
    <row r="11" spans="1:10" ht="19.5" customHeight="1">
      <c r="A11" s="33" t="s">
        <v>55</v>
      </c>
      <c r="B11" s="166">
        <f t="shared" si="0"/>
        <v>0</v>
      </c>
      <c r="C11" s="166">
        <f>'Livre de compte'!K103*Copropriété!D6/Copropriété!D10</f>
        <v>0</v>
      </c>
      <c r="D11" s="166">
        <f>'Livre de compte'!L103*Copropriété!E6/Copropriété!E10</f>
        <v>0</v>
      </c>
      <c r="E11" s="166">
        <f>'Livre de compte'!M103*Copropriété!F6/Copropriété!F10</f>
        <v>0</v>
      </c>
      <c r="F11" s="166">
        <f>'Livre de compte'!N103*Copropriété!G6/Copropriété!G10</f>
        <v>0</v>
      </c>
      <c r="G11" s="166">
        <f>'Livre de compte'!O103*Copropriété!H6/Copropriété!H10</f>
        <v>0</v>
      </c>
      <c r="H11" s="166">
        <f>'Livre de compte'!P103*Copropriété!I6/Copropriété!I10</f>
        <v>0</v>
      </c>
      <c r="I11" s="166">
        <f>'Livre de compte'!Q103*Copropriété!J6/Copropriété!J10</f>
        <v>0</v>
      </c>
      <c r="J11" s="166">
        <f>'Livre de compte'!R103</f>
        <v>0</v>
      </c>
    </row>
    <row r="12" spans="1:10" ht="19.5" customHeight="1">
      <c r="A12" s="33" t="s">
        <v>56</v>
      </c>
      <c r="B12" s="166">
        <f t="shared" si="0"/>
        <v>0</v>
      </c>
      <c r="C12" s="166">
        <f>'Livre de compte'!K116*Copropriété!D6/Copropriété!D10</f>
        <v>0</v>
      </c>
      <c r="D12" s="166">
        <f>'Livre de compte'!L116*Copropriété!E6/Copropriété!E10</f>
        <v>0</v>
      </c>
      <c r="E12" s="166">
        <f>'Livre de compte'!M116*Copropriété!F6/Copropriété!F10</f>
        <v>0</v>
      </c>
      <c r="F12" s="166">
        <f>'Livre de compte'!N116*Copropriété!G6/Copropriété!G10</f>
        <v>0</v>
      </c>
      <c r="G12" s="166">
        <f>'Livre de compte'!O116*Copropriété!H6/Copropriété!H10</f>
        <v>0</v>
      </c>
      <c r="H12" s="166">
        <f>'Livre de compte'!P116*Copropriété!I6/Copropriété!I10</f>
        <v>0</v>
      </c>
      <c r="I12" s="166">
        <f>'Livre de compte'!Q116*Copropriété!J6/Copropriété!J10</f>
        <v>0</v>
      </c>
      <c r="J12" s="166">
        <f>'Livre de compte'!R116</f>
        <v>0</v>
      </c>
    </row>
    <row r="13" spans="1:10" ht="19.5" customHeight="1">
      <c r="A13" s="33" t="s">
        <v>57</v>
      </c>
      <c r="B13" s="166">
        <f t="shared" si="0"/>
        <v>0</v>
      </c>
      <c r="C13" s="166">
        <f>'Livre de compte'!K129*Copropriété!D6/Copropriété!D10</f>
        <v>0</v>
      </c>
      <c r="D13" s="166">
        <f>'Livre de compte'!L129*Copropriété!E6/Copropriété!E10</f>
        <v>0</v>
      </c>
      <c r="E13" s="166">
        <f>'Livre de compte'!M129*Copropriété!F6/Copropriété!F10</f>
        <v>0</v>
      </c>
      <c r="F13" s="166">
        <f>'Livre de compte'!N129*Copropriété!G6/Copropriété!G10</f>
        <v>0</v>
      </c>
      <c r="G13" s="166">
        <f>'Livre de compte'!O129*Copropriété!H6/Copropriété!H10</f>
        <v>0</v>
      </c>
      <c r="H13" s="166">
        <f>'Livre de compte'!P129*Copropriété!I6/Copropriété!I10</f>
        <v>0</v>
      </c>
      <c r="I13" s="166">
        <f>'Livre de compte'!Q129*Copropriété!J6/Copropriété!J10</f>
        <v>0</v>
      </c>
      <c r="J13" s="166">
        <f>'Livre de compte'!R129</f>
        <v>0</v>
      </c>
    </row>
    <row r="14" spans="1:10" ht="19.5" customHeight="1">
      <c r="A14" s="33" t="s">
        <v>58</v>
      </c>
      <c r="B14" s="166">
        <f t="shared" si="0"/>
        <v>0</v>
      </c>
      <c r="C14" s="166">
        <f>'Livre de compte'!K146*Copropriété!D6/Copropriété!D10</f>
        <v>0</v>
      </c>
      <c r="D14" s="166">
        <f>'Livre de compte'!L146*Copropriété!E6/Copropriété!E10</f>
        <v>0</v>
      </c>
      <c r="E14" s="166">
        <f>'Livre de compte'!M146*Copropriété!F6/Copropriété!F10</f>
        <v>0</v>
      </c>
      <c r="F14" s="166">
        <f>'Livre de compte'!N146*Copropriété!G6/Copropriété!G10</f>
        <v>0</v>
      </c>
      <c r="G14" s="166">
        <f>'Livre de compte'!O146*Copropriété!H6/Copropriété!H10</f>
        <v>0</v>
      </c>
      <c r="H14" s="166">
        <f>'Livre de compte'!P146*Copropriété!I6/Copropriété!I10</f>
        <v>0</v>
      </c>
      <c r="I14" s="166">
        <f>'Livre de compte'!Q146*Copropriété!J6/Copropriété!J10</f>
        <v>0</v>
      </c>
      <c r="J14" s="166">
        <f>'Livre de compte'!R146</f>
        <v>0</v>
      </c>
    </row>
    <row r="15" spans="1:10" ht="19.5" customHeight="1">
      <c r="A15" s="33" t="s">
        <v>59</v>
      </c>
      <c r="B15" s="166">
        <f t="shared" si="0"/>
        <v>0</v>
      </c>
      <c r="C15" s="166">
        <f>'Livre de compte'!K159*Copropriété!D6/Copropriété!D10</f>
        <v>0</v>
      </c>
      <c r="D15" s="166">
        <f>'Livre de compte'!L159*Copropriété!E6/Copropriété!E10</f>
        <v>0</v>
      </c>
      <c r="E15" s="166">
        <f>'Livre de compte'!M159*Copropriété!F6/Copropriété!F10</f>
        <v>0</v>
      </c>
      <c r="F15" s="166">
        <f>'Livre de compte'!N159*Copropriété!G6/Copropriété!G10</f>
        <v>0</v>
      </c>
      <c r="G15" s="166">
        <f>'Livre de compte'!O159*Copropriété!H6/Copropriété!H10</f>
        <v>0</v>
      </c>
      <c r="H15" s="166">
        <f>'Livre de compte'!P159*Copropriété!I6/Copropriété!I10</f>
        <v>0</v>
      </c>
      <c r="I15" s="166">
        <f>'Livre de compte'!Q159*Copropriété!J6/Copropriété!J10</f>
        <v>0</v>
      </c>
      <c r="J15" s="166">
        <f>'Livre de compte'!R159</f>
        <v>0</v>
      </c>
    </row>
    <row r="16" spans="1:10" ht="19.5" customHeight="1">
      <c r="A16" s="33" t="s">
        <v>197</v>
      </c>
      <c r="B16" s="166">
        <f t="shared" si="0"/>
        <v>0</v>
      </c>
      <c r="C16" s="166">
        <f>'Livre de compte'!K172*Copropriété!D6/Copropriété!D10</f>
        <v>0</v>
      </c>
      <c r="D16" s="166">
        <f>'Livre de compte'!L172*Copropriété!E6/Copropriété!E10</f>
        <v>0</v>
      </c>
      <c r="E16" s="166">
        <f>'Livre de compte'!M172*Copropriété!F6/Copropriété!F10</f>
        <v>0</v>
      </c>
      <c r="F16" s="166">
        <f>'Livre de compte'!N172*Copropriété!G6/Copropriété!G10</f>
        <v>0</v>
      </c>
      <c r="G16" s="166">
        <f>'Livre de compte'!O172*Copropriété!H6/Copropriété!H10</f>
        <v>0</v>
      </c>
      <c r="H16" s="166">
        <f>'Livre de compte'!P172*Copropriété!I6/Copropriété!I10</f>
        <v>0</v>
      </c>
      <c r="I16" s="166">
        <f>'Livre de compte'!Q172*Copropriété!J6/Copropriété!J10</f>
        <v>0</v>
      </c>
      <c r="J16" s="166">
        <f>'Livre de compte'!R172</f>
        <v>0</v>
      </c>
    </row>
    <row r="17" spans="1:10" ht="19.5" customHeight="1">
      <c r="A17" s="33" t="s">
        <v>439</v>
      </c>
      <c r="B17" s="166">
        <f>B16</f>
        <v>0</v>
      </c>
      <c r="C17" s="166">
        <f aca="true" t="shared" si="1" ref="C17:J17">SUM(C5:C16)</f>
        <v>0</v>
      </c>
      <c r="D17" s="166">
        <f t="shared" si="1"/>
        <v>0</v>
      </c>
      <c r="E17" s="166">
        <f t="shared" si="1"/>
        <v>0</v>
      </c>
      <c r="F17" s="166">
        <f t="shared" si="1"/>
        <v>0</v>
      </c>
      <c r="G17" s="166">
        <f t="shared" si="1"/>
        <v>0</v>
      </c>
      <c r="H17" s="166">
        <f t="shared" si="1"/>
        <v>0</v>
      </c>
      <c r="I17" s="166">
        <f>SUM(I5:I16)</f>
        <v>0</v>
      </c>
      <c r="J17" s="166">
        <f t="shared" si="1"/>
        <v>0</v>
      </c>
    </row>
    <row r="18" spans="1:9" ht="19.5" customHeight="1">
      <c r="A18" s="11"/>
      <c r="B18" s="11"/>
      <c r="C18" s="11"/>
      <c r="D18" s="11"/>
      <c r="E18" s="11"/>
      <c r="F18" s="11"/>
      <c r="G18" s="11"/>
      <c r="H18" s="11"/>
      <c r="I18" s="11"/>
    </row>
    <row r="19" ht="19.5" customHeight="1">
      <c r="A19" s="37" t="s">
        <v>275</v>
      </c>
    </row>
    <row r="20" spans="1:8" ht="19.5" customHeight="1">
      <c r="A20" s="10" t="s">
        <v>10</v>
      </c>
      <c r="C20" s="322">
        <f>C17+D17+E17+F17+G17+H17+I17</f>
        <v>0</v>
      </c>
      <c r="E20" s="10"/>
      <c r="G20" s="38"/>
      <c r="H20" s="38"/>
    </row>
    <row r="21" spans="1:10" ht="19.5" customHeight="1">
      <c r="A21" s="10" t="s">
        <v>146</v>
      </c>
      <c r="C21" s="322">
        <f>J17</f>
        <v>0</v>
      </c>
      <c r="J21" s="214"/>
    </row>
    <row r="22" spans="1:10" ht="19.5" customHeight="1">
      <c r="A22" s="10" t="s">
        <v>437</v>
      </c>
      <c r="C22" s="322">
        <f>B17</f>
        <v>0</v>
      </c>
      <c r="E22" s="10" t="s">
        <v>236</v>
      </c>
      <c r="F22" s="10"/>
      <c r="G22" s="322">
        <f>-(I17)+I4</f>
        <v>0</v>
      </c>
      <c r="H22" s="322"/>
      <c r="J22" s="173"/>
    </row>
    <row r="24" spans="1:10" ht="19.5" customHeight="1">
      <c r="A24" s="9" t="s">
        <v>374</v>
      </c>
      <c r="B24" s="11"/>
      <c r="C24" s="11"/>
      <c r="D24" s="11"/>
      <c r="E24" s="11"/>
      <c r="F24" s="11"/>
      <c r="G24" s="11"/>
      <c r="H24" s="11"/>
      <c r="I24" s="11"/>
      <c r="J24" s="32" t="str">
        <f>J1</f>
        <v>Exercice 2015</v>
      </c>
    </row>
    <row r="25" spans="1:9" ht="19.5" customHeight="1">
      <c r="A25" s="11"/>
      <c r="B25" s="11"/>
      <c r="C25" s="11"/>
      <c r="D25" s="11"/>
      <c r="E25" s="11"/>
      <c r="F25" s="11"/>
      <c r="G25" s="11"/>
      <c r="H25" s="11"/>
      <c r="I25" s="11"/>
    </row>
    <row r="26" spans="1:9" ht="19.5" customHeight="1">
      <c r="A26" s="12"/>
      <c r="B26" s="19" t="s">
        <v>411</v>
      </c>
      <c r="C26" s="19" t="str">
        <f>Copropriété!D4</f>
        <v>Générales</v>
      </c>
      <c r="D26" s="19" t="str">
        <f>Copropriété!E4</f>
        <v>Escalier</v>
      </c>
      <c r="E26" s="19" t="str">
        <f>Copropriété!F4</f>
        <v>Eau</v>
      </c>
      <c r="F26" s="19" t="str">
        <f>Copropriété!G4</f>
        <v>Charge1</v>
      </c>
      <c r="G26" s="19" t="str">
        <f>Copropriété!H4</f>
        <v>Charge2</v>
      </c>
      <c r="H26" s="19" t="str">
        <f>Copropriété!I4</f>
        <v>Travaux</v>
      </c>
      <c r="I26" s="18" t="str">
        <f>Copropriété!J4</f>
        <v>Provision</v>
      </c>
    </row>
    <row r="27" spans="1:10" ht="19.5" customHeight="1">
      <c r="A27" s="44" t="s">
        <v>391</v>
      </c>
      <c r="B27" s="323">
        <v>0</v>
      </c>
      <c r="C27" s="317"/>
      <c r="D27" s="318"/>
      <c r="E27" s="318"/>
      <c r="F27" s="318"/>
      <c r="G27" s="319"/>
      <c r="H27" s="319"/>
      <c r="I27" s="324">
        <v>0</v>
      </c>
      <c r="J27" s="321" t="s">
        <v>451</v>
      </c>
    </row>
    <row r="28" spans="1:10" ht="19.5" customHeight="1">
      <c r="A28" s="33" t="s">
        <v>369</v>
      </c>
      <c r="B28" s="166">
        <f aca="true" t="shared" si="2" ref="B28:B39">B27+(C28+D28+E28+F28+G28+H28+I28)+J28</f>
        <v>0</v>
      </c>
      <c r="C28" s="166">
        <f>'Livre de compte'!K17*Copropriété!D11/Copropriété!D15</f>
        <v>0</v>
      </c>
      <c r="D28" s="166">
        <f>'Livre de compte'!L17*Copropriété!E11/Copropriété!E15</f>
        <v>0</v>
      </c>
      <c r="E28" s="166">
        <f>'Livre de compte'!M17*Copropriété!F11/Copropriété!F15</f>
        <v>0</v>
      </c>
      <c r="F28" s="166">
        <f>'Livre de compte'!N17*Copropriété!G11/Copropriété!G15</f>
        <v>0</v>
      </c>
      <c r="G28" s="166">
        <f>'Livre de compte'!O17*Copropriété!H11/Copropriété!H15</f>
        <v>0</v>
      </c>
      <c r="H28" s="166">
        <f>'Livre de compte'!P17*Copropriété!I11/Copropriété!I15</f>
        <v>0</v>
      </c>
      <c r="I28" s="166">
        <f>'Livre de compte'!Q17*Copropriété!J11/Copropriété!J15</f>
        <v>0</v>
      </c>
      <c r="J28" s="166">
        <f>'Livre de compte'!S17</f>
        <v>0</v>
      </c>
    </row>
    <row r="29" spans="1:10" ht="19.5" customHeight="1">
      <c r="A29" s="33" t="s">
        <v>135</v>
      </c>
      <c r="B29" s="166">
        <f t="shared" si="2"/>
        <v>0</v>
      </c>
      <c r="C29" s="166">
        <f>'Livre de compte'!K30*Copropriété!D11/Copropriété!D15</f>
        <v>0</v>
      </c>
      <c r="D29" s="166">
        <f>'Livre de compte'!L30*Copropriété!E11/Copropriété!E15</f>
        <v>0</v>
      </c>
      <c r="E29" s="166">
        <f>'Livre de compte'!M30*Copropriété!F11/Copropriété!F15</f>
        <v>0</v>
      </c>
      <c r="F29" s="166">
        <f>'Livre de compte'!N30*Copropriété!G11/Copropriété!G15</f>
        <v>0</v>
      </c>
      <c r="G29" s="166">
        <f>'Livre de compte'!O30*Copropriété!H11/Copropriété!H15</f>
        <v>0</v>
      </c>
      <c r="H29" s="166">
        <f>'Livre de compte'!P30*Copropriété!I11/Copropriété!I15</f>
        <v>0</v>
      </c>
      <c r="I29" s="166">
        <f>'Livre de compte'!Q30*Copropriété!J11/Copropriété!J15</f>
        <v>0</v>
      </c>
      <c r="J29" s="166">
        <f>'Livre de compte'!S30</f>
        <v>0</v>
      </c>
    </row>
    <row r="30" spans="1:10" ht="19.5" customHeight="1">
      <c r="A30" s="33" t="s">
        <v>393</v>
      </c>
      <c r="B30" s="166">
        <f t="shared" si="2"/>
        <v>0</v>
      </c>
      <c r="C30" s="166">
        <f>'Livre de compte'!K43*Copropriété!D11/Copropriété!D15</f>
        <v>0</v>
      </c>
      <c r="D30" s="166">
        <f>'Livre de compte'!L43*Copropriété!E11/Copropriété!E15</f>
        <v>0</v>
      </c>
      <c r="E30" s="166">
        <f>'Livre de compte'!M43*Copropriété!F11/Copropriété!F15</f>
        <v>0</v>
      </c>
      <c r="F30" s="166">
        <f>'Livre de compte'!N43*Copropriété!G11/Copropriété!G15</f>
        <v>0</v>
      </c>
      <c r="G30" s="166">
        <f>'Livre de compte'!O43*Copropriété!H11/Copropriété!H15</f>
        <v>0</v>
      </c>
      <c r="H30" s="166">
        <f>'Livre de compte'!P43*Copropriété!I11/Copropriété!I15</f>
        <v>0</v>
      </c>
      <c r="I30" s="166">
        <f>'Livre de compte'!Q43*Copropriété!J11/Copropriété!J15</f>
        <v>0</v>
      </c>
      <c r="J30" s="166">
        <f>'Livre de compte'!S43</f>
        <v>0</v>
      </c>
    </row>
    <row r="31" spans="1:10" ht="19.5" customHeight="1">
      <c r="A31" s="33" t="s">
        <v>288</v>
      </c>
      <c r="B31" s="166">
        <f t="shared" si="2"/>
        <v>0</v>
      </c>
      <c r="C31" s="166">
        <f>'Livre de compte'!K60*Copropriété!D11/Copropriété!D15</f>
        <v>0</v>
      </c>
      <c r="D31" s="166">
        <f>'Livre de compte'!L60*Copropriété!E11/Copropriété!E15</f>
        <v>0</v>
      </c>
      <c r="E31" s="166">
        <f>'Livre de compte'!M60*Copropriété!F11/Copropriété!F15</f>
        <v>0</v>
      </c>
      <c r="F31" s="166">
        <f>'Livre de compte'!N60*Copropriété!G11/Copropriété!G15</f>
        <v>0</v>
      </c>
      <c r="G31" s="166">
        <f>'Livre de compte'!O60*Copropriété!H11/Copropriété!H15</f>
        <v>0</v>
      </c>
      <c r="H31" s="166">
        <f>'Livre de compte'!P60*Copropriété!I11/Copropriété!I15</f>
        <v>0</v>
      </c>
      <c r="I31" s="166">
        <f>'Livre de compte'!Q60*Copropriété!J11/Copropriété!J15</f>
        <v>0</v>
      </c>
      <c r="J31" s="166">
        <f>'Livre de compte'!S60</f>
        <v>0</v>
      </c>
    </row>
    <row r="32" spans="1:10" ht="19.5" customHeight="1">
      <c r="A32" s="33" t="s">
        <v>281</v>
      </c>
      <c r="B32" s="166">
        <f t="shared" si="2"/>
        <v>0</v>
      </c>
      <c r="C32" s="166">
        <f>'Livre de compte'!K73*Copropriété!D11/Copropriété!D15</f>
        <v>0</v>
      </c>
      <c r="D32" s="166">
        <f>'Livre de compte'!L73*Copropriété!E11/Copropriété!E15</f>
        <v>0</v>
      </c>
      <c r="E32" s="166">
        <f>'Livre de compte'!M73*Copropriété!F11/Copropriété!F15</f>
        <v>0</v>
      </c>
      <c r="F32" s="166">
        <f>'Livre de compte'!N73*Copropriété!G11/Copropriété!G15</f>
        <v>0</v>
      </c>
      <c r="G32" s="166">
        <f>'Livre de compte'!O73*Copropriété!H11/Copropriété!H15</f>
        <v>0</v>
      </c>
      <c r="H32" s="166">
        <f>'Livre de compte'!P73*Copropriété!I11/Copropriété!I15</f>
        <v>0</v>
      </c>
      <c r="I32" s="166">
        <f>'Livre de compte'!Q73*Copropriété!J11/Copropriété!J15</f>
        <v>0</v>
      </c>
      <c r="J32" s="166">
        <f>'Livre de compte'!S73</f>
        <v>0</v>
      </c>
    </row>
    <row r="33" spans="1:10" ht="19.5" customHeight="1">
      <c r="A33" s="33" t="s">
        <v>189</v>
      </c>
      <c r="B33" s="166">
        <f t="shared" si="2"/>
        <v>0</v>
      </c>
      <c r="C33" s="166">
        <f>'Livre de compte'!K86*Copropriété!D11/Copropriété!D15</f>
        <v>0</v>
      </c>
      <c r="D33" s="166">
        <f>'Livre de compte'!L86*Copropriété!E11/Copropriété!E15</f>
        <v>0</v>
      </c>
      <c r="E33" s="166">
        <f>'Livre de compte'!M86*Copropriété!F11/Copropriété!F15</f>
        <v>0</v>
      </c>
      <c r="F33" s="166">
        <f>'Livre de compte'!N86*Copropriété!G11/Copropriété!G15</f>
        <v>0</v>
      </c>
      <c r="G33" s="166">
        <f>'Livre de compte'!O86*Copropriété!H11/Copropriété!H15</f>
        <v>0</v>
      </c>
      <c r="H33" s="166">
        <f>'Livre de compte'!P86*Copropriété!I11/Copropriété!I15</f>
        <v>0</v>
      </c>
      <c r="I33" s="166">
        <f>'Livre de compte'!Q86*Copropriété!J11/Copropriété!J15</f>
        <v>0</v>
      </c>
      <c r="J33" s="166">
        <f>'Livre de compte'!S86</f>
        <v>0</v>
      </c>
    </row>
    <row r="34" spans="1:10" ht="19.5" customHeight="1">
      <c r="A34" s="33" t="s">
        <v>55</v>
      </c>
      <c r="B34" s="166">
        <f t="shared" si="2"/>
        <v>0</v>
      </c>
      <c r="C34" s="166">
        <f>'Livre de compte'!K103*Copropriété!D11/Copropriété!D15</f>
        <v>0</v>
      </c>
      <c r="D34" s="166">
        <f>'Livre de compte'!L103*Copropriété!E11/Copropriété!E15</f>
        <v>0</v>
      </c>
      <c r="E34" s="166">
        <f>'Livre de compte'!M103*Copropriété!F11/Copropriété!F15</f>
        <v>0</v>
      </c>
      <c r="F34" s="166">
        <f>'Livre de compte'!N103*Copropriété!G11/Copropriété!G15</f>
        <v>0</v>
      </c>
      <c r="G34" s="166">
        <f>'Livre de compte'!O103*Copropriété!H11/Copropriété!H15</f>
        <v>0</v>
      </c>
      <c r="H34" s="166">
        <f>'Livre de compte'!P103*Copropriété!I11/Copropriété!I15</f>
        <v>0</v>
      </c>
      <c r="I34" s="166">
        <f>'Livre de compte'!Q103*Copropriété!J11/Copropriété!J15</f>
        <v>0</v>
      </c>
      <c r="J34" s="166">
        <f>'Livre de compte'!S103</f>
        <v>0</v>
      </c>
    </row>
    <row r="35" spans="1:10" ht="19.5" customHeight="1">
      <c r="A35" s="33" t="s">
        <v>56</v>
      </c>
      <c r="B35" s="166">
        <f t="shared" si="2"/>
        <v>0</v>
      </c>
      <c r="C35" s="166">
        <f>'Livre de compte'!K116*Copropriété!D11/Copropriété!D15</f>
        <v>0</v>
      </c>
      <c r="D35" s="166">
        <f>'Livre de compte'!L116*Copropriété!E11/Copropriété!E15</f>
        <v>0</v>
      </c>
      <c r="E35" s="166">
        <f>'Livre de compte'!M116*Copropriété!F11/Copropriété!F15</f>
        <v>0</v>
      </c>
      <c r="F35" s="166">
        <f>'Livre de compte'!N116*Copropriété!G11/Copropriété!G15</f>
        <v>0</v>
      </c>
      <c r="G35" s="166">
        <f>'Livre de compte'!O116*Copropriété!H11/Copropriété!H15</f>
        <v>0</v>
      </c>
      <c r="H35" s="166">
        <f>'Livre de compte'!P116*Copropriété!I11/Copropriété!I15</f>
        <v>0</v>
      </c>
      <c r="I35" s="166">
        <f>'Livre de compte'!Q116*Copropriété!J11/Copropriété!J15</f>
        <v>0</v>
      </c>
      <c r="J35" s="166">
        <f>'Livre de compte'!S116</f>
        <v>0</v>
      </c>
    </row>
    <row r="36" spans="1:10" ht="19.5" customHeight="1">
      <c r="A36" s="33" t="s">
        <v>57</v>
      </c>
      <c r="B36" s="166">
        <f t="shared" si="2"/>
        <v>0</v>
      </c>
      <c r="C36" s="166">
        <f>'Livre de compte'!K129*Copropriété!D11/Copropriété!D15</f>
        <v>0</v>
      </c>
      <c r="D36" s="166">
        <f>'Livre de compte'!L129*Copropriété!E11/Copropriété!E15</f>
        <v>0</v>
      </c>
      <c r="E36" s="166">
        <f>'Livre de compte'!M129*Copropriété!F11/Copropriété!F15</f>
        <v>0</v>
      </c>
      <c r="F36" s="166">
        <f>'Livre de compte'!N129*Copropriété!G11/Copropriété!G15</f>
        <v>0</v>
      </c>
      <c r="G36" s="166">
        <f>'Livre de compte'!O129*Copropriété!H11/Copropriété!H15</f>
        <v>0</v>
      </c>
      <c r="H36" s="166">
        <f>'Livre de compte'!P129*Copropriété!I11/Copropriété!I15</f>
        <v>0</v>
      </c>
      <c r="I36" s="166">
        <f>'Livre de compte'!Q129*Copropriété!J11/Copropriété!J15</f>
        <v>0</v>
      </c>
      <c r="J36" s="166">
        <f>'Livre de compte'!S129</f>
        <v>0</v>
      </c>
    </row>
    <row r="37" spans="1:10" ht="19.5" customHeight="1">
      <c r="A37" s="33" t="s">
        <v>58</v>
      </c>
      <c r="B37" s="166">
        <f t="shared" si="2"/>
        <v>0</v>
      </c>
      <c r="C37" s="166">
        <f>'Livre de compte'!K146*Copropriété!D11/Copropriété!D15</f>
        <v>0</v>
      </c>
      <c r="D37" s="166">
        <f>'Livre de compte'!L146*Copropriété!E11/Copropriété!E15</f>
        <v>0</v>
      </c>
      <c r="E37" s="166">
        <f>'Livre de compte'!M146*Copropriété!F11/Copropriété!F15</f>
        <v>0</v>
      </c>
      <c r="F37" s="166">
        <f>'Livre de compte'!N146*Copropriété!G11/Copropriété!G15</f>
        <v>0</v>
      </c>
      <c r="G37" s="166">
        <f>'Livre de compte'!O146*Copropriété!H11/Copropriété!H15</f>
        <v>0</v>
      </c>
      <c r="H37" s="166">
        <f>'Livre de compte'!P146*Copropriété!I11/Copropriété!I15</f>
        <v>0</v>
      </c>
      <c r="I37" s="166">
        <f>'Livre de compte'!Q146*Copropriété!J11/Copropriété!J15</f>
        <v>0</v>
      </c>
      <c r="J37" s="166">
        <f>'Livre de compte'!S146</f>
        <v>0</v>
      </c>
    </row>
    <row r="38" spans="1:10" ht="19.5" customHeight="1">
      <c r="A38" s="33" t="s">
        <v>59</v>
      </c>
      <c r="B38" s="166">
        <f t="shared" si="2"/>
        <v>0</v>
      </c>
      <c r="C38" s="166">
        <f>'Livre de compte'!K159*Copropriété!D11/Copropriété!D15</f>
        <v>0</v>
      </c>
      <c r="D38" s="166">
        <f>'Livre de compte'!L159*Copropriété!E11/Copropriété!E15</f>
        <v>0</v>
      </c>
      <c r="E38" s="166">
        <f>'Livre de compte'!M159*Copropriété!F11/Copropriété!F15</f>
        <v>0</v>
      </c>
      <c r="F38" s="166">
        <f>'Livre de compte'!N159*Copropriété!G11/Copropriété!G15</f>
        <v>0</v>
      </c>
      <c r="G38" s="166">
        <f>'Livre de compte'!O159*Copropriété!H11/Copropriété!H15</f>
        <v>0</v>
      </c>
      <c r="H38" s="166">
        <f>'Livre de compte'!P159*Copropriété!I11/Copropriété!I15</f>
        <v>0</v>
      </c>
      <c r="I38" s="166">
        <f>'Livre de compte'!Q159*Copropriété!J11/Copropriété!J15</f>
        <v>0</v>
      </c>
      <c r="J38" s="166">
        <f>'Livre de compte'!S159</f>
        <v>0</v>
      </c>
    </row>
    <row r="39" spans="1:10" ht="19.5" customHeight="1">
      <c r="A39" s="33" t="s">
        <v>197</v>
      </c>
      <c r="B39" s="166">
        <f t="shared" si="2"/>
        <v>0</v>
      </c>
      <c r="C39" s="166">
        <f>'Livre de compte'!K172*Copropriété!D11/Copropriété!D15</f>
        <v>0</v>
      </c>
      <c r="D39" s="166">
        <f>'Livre de compte'!L172*Copropriété!E11/Copropriété!E15</f>
        <v>0</v>
      </c>
      <c r="E39" s="166">
        <f>'Livre de compte'!M172*Copropriété!F11/Copropriété!F15</f>
        <v>0</v>
      </c>
      <c r="F39" s="166">
        <f>'Livre de compte'!N172*Copropriété!G11/Copropriété!G15</f>
        <v>0</v>
      </c>
      <c r="G39" s="166">
        <f>'Livre de compte'!O172*Copropriété!H11/Copropriété!H15</f>
        <v>0</v>
      </c>
      <c r="H39" s="166">
        <f>'Livre de compte'!P172*Copropriété!I11/Copropriété!I15</f>
        <v>0</v>
      </c>
      <c r="I39" s="166">
        <f>'Livre de compte'!Q172*Copropriété!J11/Copropriété!J15</f>
        <v>0</v>
      </c>
      <c r="J39" s="166">
        <f>'Livre de compte'!S172</f>
        <v>0</v>
      </c>
    </row>
    <row r="40" spans="1:10" ht="19.5" customHeight="1">
      <c r="A40" s="33" t="s">
        <v>439</v>
      </c>
      <c r="B40" s="166">
        <f>B39</f>
        <v>0</v>
      </c>
      <c r="C40" s="166">
        <f aca="true" t="shared" si="3" ref="C40:J40">SUM(C28:C39)</f>
        <v>0</v>
      </c>
      <c r="D40" s="166">
        <f t="shared" si="3"/>
        <v>0</v>
      </c>
      <c r="E40" s="166">
        <f t="shared" si="3"/>
        <v>0</v>
      </c>
      <c r="F40" s="166">
        <f t="shared" si="3"/>
        <v>0</v>
      </c>
      <c r="G40" s="166">
        <f t="shared" si="3"/>
        <v>0</v>
      </c>
      <c r="H40" s="166">
        <f t="shared" si="3"/>
        <v>0</v>
      </c>
      <c r="I40" s="166">
        <f t="shared" si="3"/>
        <v>0</v>
      </c>
      <c r="J40" s="166">
        <f t="shared" si="3"/>
        <v>0</v>
      </c>
    </row>
    <row r="41" spans="1:9" ht="19.5" customHeight="1">
      <c r="A41" s="11"/>
      <c r="B41" s="11"/>
      <c r="C41" s="11"/>
      <c r="D41" s="11"/>
      <c r="E41" s="11"/>
      <c r="F41" s="11"/>
      <c r="G41" s="11"/>
      <c r="H41" s="11"/>
      <c r="I41" s="11"/>
    </row>
    <row r="42" ht="19.5" customHeight="1">
      <c r="A42" s="37" t="s">
        <v>76</v>
      </c>
    </row>
    <row r="43" spans="1:8" ht="19.5" customHeight="1">
      <c r="A43" s="10" t="s">
        <v>10</v>
      </c>
      <c r="C43" s="322">
        <f>C40+D40+E40+F40+G40+H40+I40</f>
        <v>0</v>
      </c>
      <c r="E43" s="10"/>
      <c r="G43" s="38"/>
      <c r="H43" s="38"/>
    </row>
    <row r="44" spans="1:10" ht="19.5" customHeight="1">
      <c r="A44" s="10" t="s">
        <v>146</v>
      </c>
      <c r="C44" s="322">
        <f>J40</f>
        <v>0</v>
      </c>
      <c r="J44" s="214"/>
    </row>
    <row r="45" spans="1:8" ht="19.5" customHeight="1">
      <c r="A45" s="10" t="s">
        <v>437</v>
      </c>
      <c r="C45" s="322">
        <f>B40</f>
        <v>0</v>
      </c>
      <c r="E45" s="10" t="s">
        <v>236</v>
      </c>
      <c r="F45" s="10"/>
      <c r="G45" s="322">
        <f>-(I40)+I27</f>
        <v>0</v>
      </c>
      <c r="H45" s="322"/>
    </row>
    <row r="47" spans="1:10" ht="19.5" customHeight="1">
      <c r="A47" s="9" t="s">
        <v>375</v>
      </c>
      <c r="B47" s="11"/>
      <c r="C47" s="11"/>
      <c r="D47" s="11"/>
      <c r="E47" s="11"/>
      <c r="F47" s="11"/>
      <c r="G47" s="11"/>
      <c r="H47" s="11"/>
      <c r="I47" s="11"/>
      <c r="J47" s="32" t="str">
        <f>J1</f>
        <v>Exercice 2015</v>
      </c>
    </row>
    <row r="48" spans="1:9" ht="19.5" customHeight="1">
      <c r="A48" s="11"/>
      <c r="B48" s="11"/>
      <c r="C48" s="11"/>
      <c r="D48" s="11"/>
      <c r="E48" s="11"/>
      <c r="F48" s="11"/>
      <c r="G48" s="11"/>
      <c r="H48" s="11"/>
      <c r="I48" s="11"/>
    </row>
    <row r="49" spans="1:9" ht="19.5" customHeight="1">
      <c r="A49" s="12"/>
      <c r="B49" s="19" t="s">
        <v>411</v>
      </c>
      <c r="C49" s="19" t="str">
        <f>Copropriété!D4</f>
        <v>Générales</v>
      </c>
      <c r="D49" s="19" t="str">
        <f>Copropriété!E4</f>
        <v>Escalier</v>
      </c>
      <c r="E49" s="19" t="str">
        <f>Copropriété!F4</f>
        <v>Eau</v>
      </c>
      <c r="F49" s="19" t="str">
        <f>Copropriété!G4</f>
        <v>Charge1</v>
      </c>
      <c r="G49" s="19" t="str">
        <f>Copropriété!H4</f>
        <v>Charge2</v>
      </c>
      <c r="H49" s="19" t="str">
        <f>Copropriété!I4</f>
        <v>Travaux</v>
      </c>
      <c r="I49" s="18" t="str">
        <f>Copropriété!J4</f>
        <v>Provision</v>
      </c>
    </row>
    <row r="50" spans="1:10" ht="19.5" customHeight="1">
      <c r="A50" s="44" t="s">
        <v>391</v>
      </c>
      <c r="B50" s="323">
        <v>0</v>
      </c>
      <c r="C50" s="317"/>
      <c r="D50" s="318"/>
      <c r="E50" s="318"/>
      <c r="F50" s="318"/>
      <c r="G50" s="319"/>
      <c r="H50" s="319"/>
      <c r="I50" s="324">
        <v>0</v>
      </c>
      <c r="J50" s="321" t="s">
        <v>451</v>
      </c>
    </row>
    <row r="51" spans="1:10" ht="19.5" customHeight="1">
      <c r="A51" s="33" t="s">
        <v>369</v>
      </c>
      <c r="B51" s="166">
        <f aca="true" t="shared" si="4" ref="B51:B62">B50+(C51+D51+E51+F51+G51+H51+I51)+J51</f>
        <v>0</v>
      </c>
      <c r="C51" s="166">
        <f>'Livre de compte'!K17*Copropriété!D16/Copropriété!D20</f>
        <v>0</v>
      </c>
      <c r="D51" s="166">
        <f>'Livre de compte'!L17*Copropriété!E16/Copropriété!E20</f>
        <v>0</v>
      </c>
      <c r="E51" s="166">
        <f>'Livre de compte'!M17*Copropriété!F16/Copropriété!F20</f>
        <v>0</v>
      </c>
      <c r="F51" s="166">
        <f>'Livre de compte'!N17*Copropriété!G16/Copropriété!G20</f>
        <v>0</v>
      </c>
      <c r="G51" s="166">
        <f>'Livre de compte'!O17*Copropriété!H16/Copropriété!H20</f>
        <v>0</v>
      </c>
      <c r="H51" s="166">
        <f>'Livre de compte'!P17*Copropriété!I16/Copropriété!I20</f>
        <v>0</v>
      </c>
      <c r="I51" s="166">
        <f>'Livre de compte'!Q17*Copropriété!J16/Copropriété!J20</f>
        <v>0</v>
      </c>
      <c r="J51" s="166">
        <f>'Livre de compte'!T17</f>
        <v>0</v>
      </c>
    </row>
    <row r="52" spans="1:10" ht="19.5" customHeight="1">
      <c r="A52" s="33" t="s">
        <v>135</v>
      </c>
      <c r="B52" s="166">
        <f t="shared" si="4"/>
        <v>0</v>
      </c>
      <c r="C52" s="166">
        <f>'Livre de compte'!K30*Copropriété!D16/Copropriété!D20</f>
        <v>0</v>
      </c>
      <c r="D52" s="166">
        <f>'Livre de compte'!L30*Copropriété!E16/Copropriété!E20</f>
        <v>0</v>
      </c>
      <c r="E52" s="166">
        <f>'Livre de compte'!M30*Copropriété!F16/Copropriété!F20</f>
        <v>0</v>
      </c>
      <c r="F52" s="166">
        <f>'Livre de compte'!N30*Copropriété!G16/Copropriété!G20</f>
        <v>0</v>
      </c>
      <c r="G52" s="166">
        <f>'Livre de compte'!O30*Copropriété!H16/Copropriété!H20</f>
        <v>0</v>
      </c>
      <c r="H52" s="166">
        <f>'Livre de compte'!P30*Copropriété!I16/Copropriété!I20</f>
        <v>0</v>
      </c>
      <c r="I52" s="166">
        <f>'Livre de compte'!Q30*Copropriété!J16/Copropriété!J20</f>
        <v>0</v>
      </c>
      <c r="J52" s="166">
        <f>'Livre de compte'!T30</f>
        <v>0</v>
      </c>
    </row>
    <row r="53" spans="1:10" ht="19.5" customHeight="1">
      <c r="A53" s="33" t="s">
        <v>393</v>
      </c>
      <c r="B53" s="166">
        <f t="shared" si="4"/>
        <v>0</v>
      </c>
      <c r="C53" s="166">
        <f>'Livre de compte'!K43*Copropriété!D16/Copropriété!D20</f>
        <v>0</v>
      </c>
      <c r="D53" s="166">
        <f>'Livre de compte'!L43*Copropriété!E16/Copropriété!E20</f>
        <v>0</v>
      </c>
      <c r="E53" s="166">
        <f>'Livre de compte'!M43*Copropriété!F16/Copropriété!F20</f>
        <v>0</v>
      </c>
      <c r="F53" s="166">
        <f>'Livre de compte'!N43*Copropriété!G16/Copropriété!G20</f>
        <v>0</v>
      </c>
      <c r="G53" s="166">
        <f>'Livre de compte'!O43*Copropriété!H16/Copropriété!H20</f>
        <v>0</v>
      </c>
      <c r="H53" s="166">
        <f>'Livre de compte'!P43*Copropriété!I16/Copropriété!I20</f>
        <v>0</v>
      </c>
      <c r="I53" s="166">
        <f>'Livre de compte'!Q43*Copropriété!J16/Copropriété!J20</f>
        <v>0</v>
      </c>
      <c r="J53" s="166">
        <f>'Livre de compte'!T43</f>
        <v>0</v>
      </c>
    </row>
    <row r="54" spans="1:10" ht="19.5" customHeight="1">
      <c r="A54" s="33" t="s">
        <v>288</v>
      </c>
      <c r="B54" s="166">
        <f t="shared" si="4"/>
        <v>0</v>
      </c>
      <c r="C54" s="166">
        <f>'Livre de compte'!K60*Copropriété!D16/Copropriété!D20</f>
        <v>0</v>
      </c>
      <c r="D54" s="166">
        <f>'Livre de compte'!L60*Copropriété!E16/Copropriété!E20</f>
        <v>0</v>
      </c>
      <c r="E54" s="166">
        <f>'Livre de compte'!M60*Copropriété!F16/Copropriété!F20</f>
        <v>0</v>
      </c>
      <c r="F54" s="166">
        <f>'Livre de compte'!N60*Copropriété!G16/Copropriété!G20</f>
        <v>0</v>
      </c>
      <c r="G54" s="166">
        <f>'Livre de compte'!O60*Copropriété!H16/Copropriété!H20</f>
        <v>0</v>
      </c>
      <c r="H54" s="166">
        <f>'Livre de compte'!P60*Copropriété!I16/Copropriété!I20</f>
        <v>0</v>
      </c>
      <c r="I54" s="166">
        <f>'Livre de compte'!Q60*Copropriété!J16/Copropriété!J20</f>
        <v>0</v>
      </c>
      <c r="J54" s="166">
        <f>'Livre de compte'!T60</f>
        <v>0</v>
      </c>
    </row>
    <row r="55" spans="1:10" ht="19.5" customHeight="1">
      <c r="A55" s="33" t="s">
        <v>281</v>
      </c>
      <c r="B55" s="166">
        <f t="shared" si="4"/>
        <v>0</v>
      </c>
      <c r="C55" s="166">
        <f>'Livre de compte'!K73*Copropriété!D16/Copropriété!D20</f>
        <v>0</v>
      </c>
      <c r="D55" s="166">
        <f>'Livre de compte'!L73*Copropriété!E16/Copropriété!E20</f>
        <v>0</v>
      </c>
      <c r="E55" s="166">
        <f>'Livre de compte'!M73*Copropriété!F16/Copropriété!F20</f>
        <v>0</v>
      </c>
      <c r="F55" s="166">
        <f>'Livre de compte'!N73*Copropriété!G16/Copropriété!G20</f>
        <v>0</v>
      </c>
      <c r="G55" s="166">
        <f>'Livre de compte'!O73*Copropriété!H16/Copropriété!H20</f>
        <v>0</v>
      </c>
      <c r="H55" s="166">
        <f>'Livre de compte'!P73*Copropriété!I16/Copropriété!I20</f>
        <v>0</v>
      </c>
      <c r="I55" s="166">
        <f>'Livre de compte'!Q73*Copropriété!J16/Copropriété!J20</f>
        <v>0</v>
      </c>
      <c r="J55" s="166">
        <f>'Livre de compte'!T73</f>
        <v>0</v>
      </c>
    </row>
    <row r="56" spans="1:10" ht="19.5" customHeight="1">
      <c r="A56" s="33" t="s">
        <v>189</v>
      </c>
      <c r="B56" s="166">
        <f t="shared" si="4"/>
        <v>0</v>
      </c>
      <c r="C56" s="166">
        <f>'Livre de compte'!K86*Copropriété!D16/Copropriété!D20</f>
        <v>0</v>
      </c>
      <c r="D56" s="166">
        <f>'Livre de compte'!L86*Copropriété!E16/Copropriété!E20</f>
        <v>0</v>
      </c>
      <c r="E56" s="166">
        <f>'Livre de compte'!M86*Copropriété!F16/Copropriété!F20</f>
        <v>0</v>
      </c>
      <c r="F56" s="166">
        <f>'Livre de compte'!N86*Copropriété!G16/Copropriété!G20</f>
        <v>0</v>
      </c>
      <c r="G56" s="166">
        <f>'Livre de compte'!O86*Copropriété!H16/Copropriété!H20</f>
        <v>0</v>
      </c>
      <c r="H56" s="166">
        <f>'Livre de compte'!P86*Copropriété!I16/Copropriété!I20</f>
        <v>0</v>
      </c>
      <c r="I56" s="166">
        <f>'Livre de compte'!Q86*Copropriété!J16/Copropriété!J20</f>
        <v>0</v>
      </c>
      <c r="J56" s="166">
        <f>'Livre de compte'!T86</f>
        <v>0</v>
      </c>
    </row>
    <row r="57" spans="1:10" ht="19.5" customHeight="1">
      <c r="A57" s="33" t="s">
        <v>55</v>
      </c>
      <c r="B57" s="166">
        <f t="shared" si="4"/>
        <v>0</v>
      </c>
      <c r="C57" s="166">
        <f>'Livre de compte'!K103*Copropriété!D16/Copropriété!D20</f>
        <v>0</v>
      </c>
      <c r="D57" s="166">
        <f>'Livre de compte'!L103*Copropriété!E16/Copropriété!E20</f>
        <v>0</v>
      </c>
      <c r="E57" s="166">
        <f>'Livre de compte'!M103*Copropriété!F16/Copropriété!F20</f>
        <v>0</v>
      </c>
      <c r="F57" s="166">
        <f>'Livre de compte'!N103*Copropriété!G16/Copropriété!G20</f>
        <v>0</v>
      </c>
      <c r="G57" s="166">
        <f>'Livre de compte'!O103*Copropriété!H16/Copropriété!H20</f>
        <v>0</v>
      </c>
      <c r="H57" s="166">
        <f>'Livre de compte'!P103*Copropriété!I16/Copropriété!I20</f>
        <v>0</v>
      </c>
      <c r="I57" s="166">
        <f>'Livre de compte'!Q103*Copropriété!J16/Copropriété!J20</f>
        <v>0</v>
      </c>
      <c r="J57" s="166">
        <f>'Livre de compte'!T103</f>
        <v>0</v>
      </c>
    </row>
    <row r="58" spans="1:10" ht="19.5" customHeight="1">
      <c r="A58" s="33" t="s">
        <v>56</v>
      </c>
      <c r="B58" s="166">
        <f t="shared" si="4"/>
        <v>0</v>
      </c>
      <c r="C58" s="166">
        <f>'Livre de compte'!K116*Copropriété!D16/Copropriété!D20</f>
        <v>0</v>
      </c>
      <c r="D58" s="166">
        <f>'Livre de compte'!L116*Copropriété!E16/Copropriété!E20</f>
        <v>0</v>
      </c>
      <c r="E58" s="166">
        <f>'Livre de compte'!M116*Copropriété!F16/Copropriété!F20</f>
        <v>0</v>
      </c>
      <c r="F58" s="166">
        <f>'Livre de compte'!N116*Copropriété!G16/Copropriété!G20</f>
        <v>0</v>
      </c>
      <c r="G58" s="166">
        <f>'Livre de compte'!O116*Copropriété!H16/Copropriété!H20</f>
        <v>0</v>
      </c>
      <c r="H58" s="166">
        <f>'Livre de compte'!P116*Copropriété!I16/Copropriété!I20</f>
        <v>0</v>
      </c>
      <c r="I58" s="166">
        <f>'Livre de compte'!Q116*Copropriété!J16/Copropriété!J20</f>
        <v>0</v>
      </c>
      <c r="J58" s="166">
        <f>'Livre de compte'!T116</f>
        <v>0</v>
      </c>
    </row>
    <row r="59" spans="1:10" ht="19.5" customHeight="1">
      <c r="A59" s="33" t="s">
        <v>57</v>
      </c>
      <c r="B59" s="166">
        <f t="shared" si="4"/>
        <v>0</v>
      </c>
      <c r="C59" s="166">
        <f>'Livre de compte'!K129*Copropriété!D16/Copropriété!D20</f>
        <v>0</v>
      </c>
      <c r="D59" s="166">
        <f>'Livre de compte'!L129*Copropriété!E16/Copropriété!E20</f>
        <v>0</v>
      </c>
      <c r="E59" s="166">
        <f>'Livre de compte'!M129*Copropriété!F16/Copropriété!F20</f>
        <v>0</v>
      </c>
      <c r="F59" s="166">
        <f>'Livre de compte'!N129*Copropriété!G16/Copropriété!G20</f>
        <v>0</v>
      </c>
      <c r="G59" s="166">
        <f>'Livre de compte'!O129*Copropriété!H16/Copropriété!H20</f>
        <v>0</v>
      </c>
      <c r="H59" s="166">
        <f>'Livre de compte'!P129*Copropriété!I16/Copropriété!I20</f>
        <v>0</v>
      </c>
      <c r="I59" s="166">
        <f>'Livre de compte'!Q129*Copropriété!J16/Copropriété!J20</f>
        <v>0</v>
      </c>
      <c r="J59" s="166">
        <f>'Livre de compte'!T129</f>
        <v>0</v>
      </c>
    </row>
    <row r="60" spans="1:10" ht="19.5" customHeight="1">
      <c r="A60" s="33" t="s">
        <v>58</v>
      </c>
      <c r="B60" s="166">
        <f t="shared" si="4"/>
        <v>0</v>
      </c>
      <c r="C60" s="166">
        <f>'Livre de compte'!K146*Copropriété!D16/Copropriété!D20</f>
        <v>0</v>
      </c>
      <c r="D60" s="166">
        <f>'Livre de compte'!L146*Copropriété!E16/Copropriété!E20</f>
        <v>0</v>
      </c>
      <c r="E60" s="166">
        <f>'Livre de compte'!M146*Copropriété!F16/Copropriété!F20</f>
        <v>0</v>
      </c>
      <c r="F60" s="166">
        <f>'Livre de compte'!N146*Copropriété!G16/Copropriété!G20</f>
        <v>0</v>
      </c>
      <c r="G60" s="166">
        <f>'Livre de compte'!O146*Copropriété!H16/Copropriété!H20</f>
        <v>0</v>
      </c>
      <c r="H60" s="166">
        <f>'Livre de compte'!P146*Copropriété!I16/Copropriété!I20</f>
        <v>0</v>
      </c>
      <c r="I60" s="166">
        <f>'Livre de compte'!Q146*Copropriété!J16/Copropriété!J20</f>
        <v>0</v>
      </c>
      <c r="J60" s="166">
        <f>'Livre de compte'!T146</f>
        <v>0</v>
      </c>
    </row>
    <row r="61" spans="1:10" ht="19.5" customHeight="1">
      <c r="A61" s="33" t="s">
        <v>59</v>
      </c>
      <c r="B61" s="166">
        <f t="shared" si="4"/>
        <v>0</v>
      </c>
      <c r="C61" s="166">
        <f>'Livre de compte'!K159*Copropriété!D16/Copropriété!D20</f>
        <v>0</v>
      </c>
      <c r="D61" s="166">
        <f>'Livre de compte'!L159*Copropriété!E16/Copropriété!E20</f>
        <v>0</v>
      </c>
      <c r="E61" s="166">
        <f>'Livre de compte'!M159*Copropriété!F16/Copropriété!F20</f>
        <v>0</v>
      </c>
      <c r="F61" s="166">
        <f>'Livre de compte'!N159*Copropriété!G16/Copropriété!G20</f>
        <v>0</v>
      </c>
      <c r="G61" s="166">
        <f>'Livre de compte'!O159*Copropriété!H16/Copropriété!H20</f>
        <v>0</v>
      </c>
      <c r="H61" s="166">
        <f>'Livre de compte'!P159*Copropriété!I16/Copropriété!I20</f>
        <v>0</v>
      </c>
      <c r="I61" s="166">
        <f>'Livre de compte'!Q159*Copropriété!J16/Copropriété!J20</f>
        <v>0</v>
      </c>
      <c r="J61" s="166">
        <f>'Livre de compte'!T159</f>
        <v>0</v>
      </c>
    </row>
    <row r="62" spans="1:10" ht="19.5" customHeight="1">
      <c r="A62" s="33" t="s">
        <v>197</v>
      </c>
      <c r="B62" s="166">
        <f t="shared" si="4"/>
        <v>0</v>
      </c>
      <c r="C62" s="166">
        <f>'Livre de compte'!K172*Copropriété!D16/Copropriété!D20</f>
        <v>0</v>
      </c>
      <c r="D62" s="166">
        <f>'Livre de compte'!L172*Copropriété!E16/Copropriété!E20</f>
        <v>0</v>
      </c>
      <c r="E62" s="166">
        <f>'Livre de compte'!M172*Copropriété!F16/Copropriété!F20</f>
        <v>0</v>
      </c>
      <c r="F62" s="166">
        <f>'Livre de compte'!N172*Copropriété!G16/Copropriété!G20</f>
        <v>0</v>
      </c>
      <c r="G62" s="166">
        <f>'Livre de compte'!O172*Copropriété!H16/Copropriété!H20</f>
        <v>0</v>
      </c>
      <c r="H62" s="166">
        <f>'Livre de compte'!P172*Copropriété!I16/Copropriété!I20</f>
        <v>0</v>
      </c>
      <c r="I62" s="166">
        <f>'Livre de compte'!Q172*Copropriété!J16/Copropriété!J20</f>
        <v>0</v>
      </c>
      <c r="J62" s="166">
        <f>'Livre de compte'!T172</f>
        <v>0</v>
      </c>
    </row>
    <row r="63" spans="1:10" ht="19.5" customHeight="1">
      <c r="A63" s="33" t="s">
        <v>439</v>
      </c>
      <c r="B63" s="166">
        <f>B62</f>
        <v>0</v>
      </c>
      <c r="C63" s="166">
        <f aca="true" t="shared" si="5" ref="C63:J63">SUM(C51:C62)</f>
        <v>0</v>
      </c>
      <c r="D63" s="166">
        <f t="shared" si="5"/>
        <v>0</v>
      </c>
      <c r="E63" s="166">
        <f t="shared" si="5"/>
        <v>0</v>
      </c>
      <c r="F63" s="166">
        <f t="shared" si="5"/>
        <v>0</v>
      </c>
      <c r="G63" s="166">
        <f t="shared" si="5"/>
        <v>0</v>
      </c>
      <c r="H63" s="166">
        <f t="shared" si="5"/>
        <v>0</v>
      </c>
      <c r="I63" s="166">
        <f t="shared" si="5"/>
        <v>0</v>
      </c>
      <c r="J63" s="166">
        <f t="shared" si="5"/>
        <v>0</v>
      </c>
    </row>
    <row r="64" spans="1:9" ht="19.5" customHeight="1">
      <c r="A64" s="11"/>
      <c r="B64" s="11"/>
      <c r="C64" s="11"/>
      <c r="D64" s="11"/>
      <c r="E64" s="11"/>
      <c r="F64" s="11"/>
      <c r="G64" s="11"/>
      <c r="H64" s="11"/>
      <c r="I64" s="11"/>
    </row>
    <row r="65" ht="19.5" customHeight="1">
      <c r="A65" s="37" t="s">
        <v>46</v>
      </c>
    </row>
    <row r="66" spans="1:8" ht="19.5" customHeight="1">
      <c r="A66" s="10" t="s">
        <v>10</v>
      </c>
      <c r="C66" s="322">
        <f>C63+D63+E63+F63+G63+H63+I63</f>
        <v>0</v>
      </c>
      <c r="E66" s="10"/>
      <c r="G66" s="38"/>
      <c r="H66" s="38"/>
    </row>
    <row r="67" spans="1:3" ht="19.5" customHeight="1">
      <c r="A67" s="10" t="s">
        <v>146</v>
      </c>
      <c r="C67" s="322">
        <f>J63</f>
        <v>0</v>
      </c>
    </row>
    <row r="68" spans="1:8" ht="19.5" customHeight="1">
      <c r="A68" s="10" t="s">
        <v>437</v>
      </c>
      <c r="C68" s="322">
        <f>B63</f>
        <v>0</v>
      </c>
      <c r="E68" s="10" t="s">
        <v>236</v>
      </c>
      <c r="F68" s="10"/>
      <c r="G68" s="322">
        <f>-(I63)+I50</f>
        <v>0</v>
      </c>
      <c r="H68" s="322"/>
    </row>
    <row r="70" spans="1:10" ht="19.5" customHeight="1">
      <c r="A70" s="9" t="s">
        <v>407</v>
      </c>
      <c r="B70" s="11"/>
      <c r="C70" s="11"/>
      <c r="D70" s="11"/>
      <c r="E70" s="11"/>
      <c r="F70" s="11"/>
      <c r="G70" s="11"/>
      <c r="H70" s="11"/>
      <c r="I70" s="11"/>
      <c r="J70" s="32" t="str">
        <f>J1</f>
        <v>Exercice 2015</v>
      </c>
    </row>
    <row r="71" spans="1:9" ht="19.5" customHeight="1">
      <c r="A71" s="11"/>
      <c r="B71" s="11"/>
      <c r="C71" s="11"/>
      <c r="D71" s="11"/>
      <c r="E71" s="11"/>
      <c r="F71" s="11"/>
      <c r="G71" s="11"/>
      <c r="H71" s="11"/>
      <c r="I71" s="11"/>
    </row>
    <row r="72" spans="1:9" ht="19.5" customHeight="1">
      <c r="A72" s="12"/>
      <c r="B72" s="19" t="s">
        <v>411</v>
      </c>
      <c r="C72" s="19" t="str">
        <f>Copropriété!D4</f>
        <v>Générales</v>
      </c>
      <c r="D72" s="19" t="str">
        <f>Copropriété!E4</f>
        <v>Escalier</v>
      </c>
      <c r="E72" s="19" t="str">
        <f>Copropriété!F4</f>
        <v>Eau</v>
      </c>
      <c r="F72" s="19" t="str">
        <f>Copropriété!G4</f>
        <v>Charge1</v>
      </c>
      <c r="G72" s="19" t="str">
        <f>Copropriété!H4</f>
        <v>Charge2</v>
      </c>
      <c r="H72" s="19" t="str">
        <f>Copropriété!I4</f>
        <v>Travaux</v>
      </c>
      <c r="I72" s="18" t="str">
        <f>Copropriété!J4</f>
        <v>Provision</v>
      </c>
    </row>
    <row r="73" spans="1:10" ht="19.5" customHeight="1">
      <c r="A73" s="44" t="s">
        <v>391</v>
      </c>
      <c r="B73" s="323">
        <v>0</v>
      </c>
      <c r="C73" s="317"/>
      <c r="D73" s="318"/>
      <c r="E73" s="318"/>
      <c r="F73" s="318"/>
      <c r="G73" s="319"/>
      <c r="H73" s="319"/>
      <c r="I73" s="324">
        <v>0</v>
      </c>
      <c r="J73" s="321" t="s">
        <v>451</v>
      </c>
    </row>
    <row r="74" spans="1:10" ht="19.5" customHeight="1">
      <c r="A74" s="33" t="s">
        <v>369</v>
      </c>
      <c r="B74" s="166">
        <f aca="true" t="shared" si="6" ref="B74:B85">B73+(C74+D74+E74+F74+G74+H74+I74)+J74</f>
        <v>0</v>
      </c>
      <c r="C74" s="166">
        <f>'Livre de compte'!K17*Copropriété!D21/Copropriété!D25</f>
        <v>0</v>
      </c>
      <c r="D74" s="166">
        <f>'Livre de compte'!L17*Copropriété!E21/Copropriété!E25</f>
        <v>0</v>
      </c>
      <c r="E74" s="166">
        <f>'Livre de compte'!M17*Copropriété!F21/Copropriété!F25</f>
        <v>0</v>
      </c>
      <c r="F74" s="166">
        <f>'Livre de compte'!N17*Copropriété!G21/Copropriété!G25</f>
        <v>0</v>
      </c>
      <c r="G74" s="166">
        <f>'Livre de compte'!O17*Copropriété!H21/Copropriété!H25</f>
        <v>0</v>
      </c>
      <c r="H74" s="166">
        <f>'Livre de compte'!P17*Copropriété!I21/Copropriété!I25</f>
        <v>0</v>
      </c>
      <c r="I74" s="166">
        <f>'Livre de compte'!Q17*Copropriété!J21/Copropriété!J25</f>
        <v>0</v>
      </c>
      <c r="J74" s="166">
        <f>'Livre de compte'!U17</f>
        <v>0</v>
      </c>
    </row>
    <row r="75" spans="1:10" ht="19.5" customHeight="1">
      <c r="A75" s="33" t="s">
        <v>135</v>
      </c>
      <c r="B75" s="166">
        <f t="shared" si="6"/>
        <v>0</v>
      </c>
      <c r="C75" s="166">
        <f>'Livre de compte'!K30*Copropriété!D21/Copropriété!D25</f>
        <v>0</v>
      </c>
      <c r="D75" s="166">
        <f>'Livre de compte'!L30*Copropriété!E21/Copropriété!E25</f>
        <v>0</v>
      </c>
      <c r="E75" s="166">
        <f>'Livre de compte'!M30*Copropriété!F21/Copropriété!F25</f>
        <v>0</v>
      </c>
      <c r="F75" s="166">
        <f>'Livre de compte'!N30*Copropriété!G21/Copropriété!G25</f>
        <v>0</v>
      </c>
      <c r="G75" s="166">
        <f>'Livre de compte'!O30*Copropriété!H21/Copropriété!H25</f>
        <v>0</v>
      </c>
      <c r="H75" s="166">
        <f>'Livre de compte'!P30*Copropriété!I21/Copropriété!I25</f>
        <v>0</v>
      </c>
      <c r="I75" s="166">
        <f>'Livre de compte'!Q30*Copropriété!J21/Copropriété!J25</f>
        <v>0</v>
      </c>
      <c r="J75" s="166">
        <f>'Livre de compte'!U30</f>
        <v>0</v>
      </c>
    </row>
    <row r="76" spans="1:10" ht="19.5" customHeight="1">
      <c r="A76" s="33" t="s">
        <v>393</v>
      </c>
      <c r="B76" s="166">
        <f t="shared" si="6"/>
        <v>0</v>
      </c>
      <c r="C76" s="166">
        <f>'Livre de compte'!K43*Copropriété!D21/Copropriété!D25</f>
        <v>0</v>
      </c>
      <c r="D76" s="166">
        <f>'Livre de compte'!L43*Copropriété!E21/Copropriété!E25</f>
        <v>0</v>
      </c>
      <c r="E76" s="166">
        <f>'Livre de compte'!M43*Copropriété!F21/Copropriété!F25</f>
        <v>0</v>
      </c>
      <c r="F76" s="166">
        <f>'Livre de compte'!N43*Copropriété!G21/Copropriété!G25</f>
        <v>0</v>
      </c>
      <c r="G76" s="166">
        <f>'Livre de compte'!O43*Copropriété!H21/Copropriété!H25</f>
        <v>0</v>
      </c>
      <c r="H76" s="166">
        <f>'Livre de compte'!P43*Copropriété!I21/Copropriété!I25</f>
        <v>0</v>
      </c>
      <c r="I76" s="166">
        <f>'Livre de compte'!Q43*Copropriété!J21/Copropriété!J25</f>
        <v>0</v>
      </c>
      <c r="J76" s="166">
        <f>'Livre de compte'!U43</f>
        <v>0</v>
      </c>
    </row>
    <row r="77" spans="1:10" ht="19.5" customHeight="1">
      <c r="A77" s="33" t="s">
        <v>288</v>
      </c>
      <c r="B77" s="166">
        <f t="shared" si="6"/>
        <v>0</v>
      </c>
      <c r="C77" s="166">
        <f>'Livre de compte'!K60*Copropriété!D21/Copropriété!D25</f>
        <v>0</v>
      </c>
      <c r="D77" s="166">
        <f>'Livre de compte'!L60*Copropriété!E21/Copropriété!E25</f>
        <v>0</v>
      </c>
      <c r="E77" s="166">
        <f>'Livre de compte'!M60*Copropriété!F21/Copropriété!F25</f>
        <v>0</v>
      </c>
      <c r="F77" s="166">
        <f>'Livre de compte'!N60*Copropriété!G21/Copropriété!G25</f>
        <v>0</v>
      </c>
      <c r="G77" s="166">
        <f>'Livre de compte'!O60*Copropriété!H21/Copropriété!H25</f>
        <v>0</v>
      </c>
      <c r="H77" s="166">
        <f>'Livre de compte'!P60*Copropriété!I21/Copropriété!I25</f>
        <v>0</v>
      </c>
      <c r="I77" s="166">
        <f>'Livre de compte'!Q60*Copropriété!J21/Copropriété!J25</f>
        <v>0</v>
      </c>
      <c r="J77" s="166">
        <f>'Livre de compte'!U60</f>
        <v>0</v>
      </c>
    </row>
    <row r="78" spans="1:10" ht="19.5" customHeight="1">
      <c r="A78" s="33" t="s">
        <v>281</v>
      </c>
      <c r="B78" s="166">
        <f t="shared" si="6"/>
        <v>0</v>
      </c>
      <c r="C78" s="166">
        <f>'Livre de compte'!K73*Copropriété!D21/Copropriété!D25</f>
        <v>0</v>
      </c>
      <c r="D78" s="166">
        <f>'Livre de compte'!L73*Copropriété!E21/Copropriété!E25</f>
        <v>0</v>
      </c>
      <c r="E78" s="166">
        <f>'Livre de compte'!M73*Copropriété!F21/Copropriété!F25</f>
        <v>0</v>
      </c>
      <c r="F78" s="166">
        <f>'Livre de compte'!N73*Copropriété!G21/Copropriété!G25</f>
        <v>0</v>
      </c>
      <c r="G78" s="166">
        <f>'Livre de compte'!O73*Copropriété!H21/Copropriété!H25</f>
        <v>0</v>
      </c>
      <c r="H78" s="166">
        <f>'Livre de compte'!P73*Copropriété!I21/Copropriété!I25</f>
        <v>0</v>
      </c>
      <c r="I78" s="166">
        <f>'Livre de compte'!Q73*Copropriété!J21/Copropriété!J25</f>
        <v>0</v>
      </c>
      <c r="J78" s="166">
        <f>'Livre de compte'!U73</f>
        <v>0</v>
      </c>
    </row>
    <row r="79" spans="1:10" ht="19.5" customHeight="1">
      <c r="A79" s="33" t="s">
        <v>189</v>
      </c>
      <c r="B79" s="166">
        <f t="shared" si="6"/>
        <v>0</v>
      </c>
      <c r="C79" s="166">
        <f>'Livre de compte'!K86*Copropriété!D21/Copropriété!D25</f>
        <v>0</v>
      </c>
      <c r="D79" s="166">
        <f>'Livre de compte'!L86*Copropriété!E21/Copropriété!E25</f>
        <v>0</v>
      </c>
      <c r="E79" s="166">
        <f>'Livre de compte'!M86*Copropriété!F21/Copropriété!F25</f>
        <v>0</v>
      </c>
      <c r="F79" s="166">
        <f>'Livre de compte'!N86*Copropriété!G21/Copropriété!G25</f>
        <v>0</v>
      </c>
      <c r="G79" s="166">
        <f>'Livre de compte'!O86*Copropriété!H21/Copropriété!H25</f>
        <v>0</v>
      </c>
      <c r="H79" s="166">
        <f>'Livre de compte'!P86*Copropriété!I21/Copropriété!I25</f>
        <v>0</v>
      </c>
      <c r="I79" s="166">
        <f>'Livre de compte'!Q86*Copropriété!J21/Copropriété!J25</f>
        <v>0</v>
      </c>
      <c r="J79" s="166">
        <f>'Livre de compte'!U86</f>
        <v>0</v>
      </c>
    </row>
    <row r="80" spans="1:10" ht="19.5" customHeight="1">
      <c r="A80" s="33" t="s">
        <v>55</v>
      </c>
      <c r="B80" s="166">
        <f t="shared" si="6"/>
        <v>0</v>
      </c>
      <c r="C80" s="166">
        <f>'Livre de compte'!K103*Copropriété!D21/Copropriété!D25</f>
        <v>0</v>
      </c>
      <c r="D80" s="166">
        <f>'Livre de compte'!L103*Copropriété!E21/Copropriété!E25</f>
        <v>0</v>
      </c>
      <c r="E80" s="166">
        <f>'Livre de compte'!M103*Copropriété!F21/Copropriété!F25</f>
        <v>0</v>
      </c>
      <c r="F80" s="166">
        <f>'Livre de compte'!N103*Copropriété!G21/Copropriété!G25</f>
        <v>0</v>
      </c>
      <c r="G80" s="166">
        <f>'Livre de compte'!O103*Copropriété!H21/Copropriété!H25</f>
        <v>0</v>
      </c>
      <c r="H80" s="166">
        <f>'Livre de compte'!P103*Copropriété!I21/Copropriété!I25</f>
        <v>0</v>
      </c>
      <c r="I80" s="166">
        <f>'Livre de compte'!Q103*Copropriété!J21/Copropriété!J25</f>
        <v>0</v>
      </c>
      <c r="J80" s="166">
        <f>'Livre de compte'!U103</f>
        <v>0</v>
      </c>
    </row>
    <row r="81" spans="1:10" ht="19.5" customHeight="1">
      <c r="A81" s="33" t="s">
        <v>56</v>
      </c>
      <c r="B81" s="166">
        <f t="shared" si="6"/>
        <v>0</v>
      </c>
      <c r="C81" s="166">
        <f>'Livre de compte'!K116*Copropriété!D21/Copropriété!D25</f>
        <v>0</v>
      </c>
      <c r="D81" s="166">
        <f>'Livre de compte'!L116*Copropriété!E21/Copropriété!E25</f>
        <v>0</v>
      </c>
      <c r="E81" s="166">
        <f>'Livre de compte'!M116*Copropriété!F21/Copropriété!F25</f>
        <v>0</v>
      </c>
      <c r="F81" s="166">
        <f>'Livre de compte'!N116*Copropriété!G21/Copropriété!G25</f>
        <v>0</v>
      </c>
      <c r="G81" s="166">
        <f>'Livre de compte'!O116*Copropriété!H21/Copropriété!H25</f>
        <v>0</v>
      </c>
      <c r="H81" s="166">
        <f>'Livre de compte'!P116*Copropriété!I21/Copropriété!I25</f>
        <v>0</v>
      </c>
      <c r="I81" s="166">
        <f>'Livre de compte'!Q116*Copropriété!J21/Copropriété!J25</f>
        <v>0</v>
      </c>
      <c r="J81" s="166">
        <f>'Livre de compte'!U116</f>
        <v>0</v>
      </c>
    </row>
    <row r="82" spans="1:10" ht="19.5" customHeight="1">
      <c r="A82" s="33" t="s">
        <v>57</v>
      </c>
      <c r="B82" s="166">
        <f t="shared" si="6"/>
        <v>0</v>
      </c>
      <c r="C82" s="166">
        <f>'Livre de compte'!K129*Copropriété!D21/Copropriété!D25</f>
        <v>0</v>
      </c>
      <c r="D82" s="166">
        <f>'Livre de compte'!L129*Copropriété!E21/Copropriété!E25</f>
        <v>0</v>
      </c>
      <c r="E82" s="166">
        <f>'Livre de compte'!M129*Copropriété!F21/Copropriété!F25</f>
        <v>0</v>
      </c>
      <c r="F82" s="166">
        <f>'Livre de compte'!N129*Copropriété!G21/Copropriété!G25</f>
        <v>0</v>
      </c>
      <c r="G82" s="166">
        <f>'Livre de compte'!O129*Copropriété!H21/Copropriété!H25</f>
        <v>0</v>
      </c>
      <c r="H82" s="166">
        <f>'Livre de compte'!P129*Copropriété!I21/Copropriété!I25</f>
        <v>0</v>
      </c>
      <c r="I82" s="166">
        <f>'Livre de compte'!Q129*Copropriété!J21/Copropriété!J25</f>
        <v>0</v>
      </c>
      <c r="J82" s="166">
        <f>'Livre de compte'!U129</f>
        <v>0</v>
      </c>
    </row>
    <row r="83" spans="1:10" ht="19.5" customHeight="1">
      <c r="A83" s="33" t="s">
        <v>58</v>
      </c>
      <c r="B83" s="166">
        <f t="shared" si="6"/>
        <v>0</v>
      </c>
      <c r="C83" s="166">
        <f>'Livre de compte'!K146*Copropriété!D21/Copropriété!D25</f>
        <v>0</v>
      </c>
      <c r="D83" s="166">
        <f>'Livre de compte'!L146*Copropriété!E21/Copropriété!E25</f>
        <v>0</v>
      </c>
      <c r="E83" s="166">
        <f>'Livre de compte'!M146*Copropriété!F21/Copropriété!F25</f>
        <v>0</v>
      </c>
      <c r="F83" s="166">
        <f>'Livre de compte'!N146*Copropriété!G21/Copropriété!G25</f>
        <v>0</v>
      </c>
      <c r="G83" s="166">
        <f>'Livre de compte'!O146*Copropriété!H21/Copropriété!H25</f>
        <v>0</v>
      </c>
      <c r="H83" s="166">
        <f>'Livre de compte'!P146*Copropriété!I21/Copropriété!I25</f>
        <v>0</v>
      </c>
      <c r="I83" s="166">
        <f>'Livre de compte'!Q146*Copropriété!J21/Copropriété!J25</f>
        <v>0</v>
      </c>
      <c r="J83" s="166">
        <f>'Livre de compte'!U146</f>
        <v>0</v>
      </c>
    </row>
    <row r="84" spans="1:10" ht="19.5" customHeight="1">
      <c r="A84" s="33" t="s">
        <v>59</v>
      </c>
      <c r="B84" s="166">
        <f t="shared" si="6"/>
        <v>0</v>
      </c>
      <c r="C84" s="166">
        <f>'Livre de compte'!K159*Copropriété!D21/Copropriété!D25</f>
        <v>0</v>
      </c>
      <c r="D84" s="166">
        <f>'Livre de compte'!L159*Copropriété!E21/Copropriété!E25</f>
        <v>0</v>
      </c>
      <c r="E84" s="166">
        <f>'Livre de compte'!M159*Copropriété!F21/Copropriété!F25</f>
        <v>0</v>
      </c>
      <c r="F84" s="166">
        <f>'Livre de compte'!N159*Copropriété!G21/Copropriété!G25</f>
        <v>0</v>
      </c>
      <c r="G84" s="166">
        <f>'Livre de compte'!O159*Copropriété!H21/Copropriété!H25</f>
        <v>0</v>
      </c>
      <c r="H84" s="166">
        <f>'Livre de compte'!P159*Copropriété!I21/Copropriété!I25</f>
        <v>0</v>
      </c>
      <c r="I84" s="166">
        <f>'Livre de compte'!Q159*Copropriété!J21/Copropriété!J25</f>
        <v>0</v>
      </c>
      <c r="J84" s="166">
        <f>'Livre de compte'!U159</f>
        <v>0</v>
      </c>
    </row>
    <row r="85" spans="1:10" ht="19.5" customHeight="1">
      <c r="A85" s="33" t="s">
        <v>197</v>
      </c>
      <c r="B85" s="166">
        <f t="shared" si="6"/>
        <v>0</v>
      </c>
      <c r="C85" s="166">
        <f>'Livre de compte'!K172*Copropriété!D21/Copropriété!D25</f>
        <v>0</v>
      </c>
      <c r="D85" s="166">
        <f>'Livre de compte'!L172*Copropriété!E21/Copropriété!E25</f>
        <v>0</v>
      </c>
      <c r="E85" s="166">
        <f>'Livre de compte'!M172*Copropriété!F21/Copropriété!F25</f>
        <v>0</v>
      </c>
      <c r="F85" s="166">
        <f>'Livre de compte'!N172*Copropriété!G21/Copropriété!G25</f>
        <v>0</v>
      </c>
      <c r="G85" s="166">
        <f>'Livre de compte'!O172*Copropriété!H21/Copropriété!H25</f>
        <v>0</v>
      </c>
      <c r="H85" s="166">
        <f>'Livre de compte'!P172*Copropriété!I21/Copropriété!I25</f>
        <v>0</v>
      </c>
      <c r="I85" s="166">
        <f>'Livre de compte'!Q172*Copropriété!J21/Copropriété!J25</f>
        <v>0</v>
      </c>
      <c r="J85" s="166">
        <f>'Livre de compte'!U172</f>
        <v>0</v>
      </c>
    </row>
    <row r="86" spans="1:10" ht="19.5" customHeight="1">
      <c r="A86" s="33" t="s">
        <v>439</v>
      </c>
      <c r="B86" s="166">
        <f>B85</f>
        <v>0</v>
      </c>
      <c r="C86" s="166">
        <f aca="true" t="shared" si="7" ref="C86:J86">SUM(C74:C85)</f>
        <v>0</v>
      </c>
      <c r="D86" s="166">
        <f t="shared" si="7"/>
        <v>0</v>
      </c>
      <c r="E86" s="166">
        <f t="shared" si="7"/>
        <v>0</v>
      </c>
      <c r="F86" s="166">
        <f t="shared" si="7"/>
        <v>0</v>
      </c>
      <c r="G86" s="166">
        <f t="shared" si="7"/>
        <v>0</v>
      </c>
      <c r="H86" s="166">
        <f t="shared" si="7"/>
        <v>0</v>
      </c>
      <c r="I86" s="166">
        <f t="shared" si="7"/>
        <v>0</v>
      </c>
      <c r="J86" s="166">
        <f t="shared" si="7"/>
        <v>0</v>
      </c>
    </row>
    <row r="87" spans="1:9" ht="19.5" customHeight="1">
      <c r="A87" s="11"/>
      <c r="B87" s="11"/>
      <c r="C87" s="11"/>
      <c r="D87" s="11"/>
      <c r="E87" s="11"/>
      <c r="F87" s="11"/>
      <c r="G87" s="11"/>
      <c r="H87" s="11"/>
      <c r="I87" s="11"/>
    </row>
    <row r="88" ht="19.5" customHeight="1">
      <c r="A88" s="37" t="s">
        <v>427</v>
      </c>
    </row>
    <row r="89" spans="1:3" ht="19.5" customHeight="1">
      <c r="A89" s="10" t="s">
        <v>10</v>
      </c>
      <c r="C89" s="322">
        <f>C86+D86+E86+F86+G86+H86+I86</f>
        <v>0</v>
      </c>
    </row>
    <row r="90" spans="1:3" ht="19.5" customHeight="1">
      <c r="A90" s="10" t="s">
        <v>146</v>
      </c>
      <c r="C90" s="322">
        <f>J86</f>
        <v>0</v>
      </c>
    </row>
    <row r="91" spans="1:8" ht="19.5" customHeight="1">
      <c r="A91" s="10" t="s">
        <v>437</v>
      </c>
      <c r="C91" s="322">
        <f>B86</f>
        <v>0</v>
      </c>
      <c r="E91" s="10" t="s">
        <v>236</v>
      </c>
      <c r="F91" s="10"/>
      <c r="G91" s="322">
        <f>-(I86)+I73</f>
        <v>0</v>
      </c>
      <c r="H91" s="322"/>
    </row>
    <row r="93" spans="1:10" ht="19.5" customHeight="1">
      <c r="A93" s="9" t="s">
        <v>306</v>
      </c>
      <c r="B93" s="11"/>
      <c r="C93" s="11"/>
      <c r="D93" s="11"/>
      <c r="E93" s="11"/>
      <c r="F93" s="11"/>
      <c r="G93" s="11"/>
      <c r="H93" s="11"/>
      <c r="I93" s="11"/>
      <c r="J93" s="32" t="str">
        <f>J1</f>
        <v>Exercice 2015</v>
      </c>
    </row>
    <row r="94" spans="1:9" ht="19.5" customHeight="1">
      <c r="A94" s="11"/>
      <c r="B94" s="11"/>
      <c r="C94" s="11"/>
      <c r="D94" s="11"/>
      <c r="E94" s="11"/>
      <c r="F94" s="11"/>
      <c r="G94" s="11"/>
      <c r="H94" s="11"/>
      <c r="I94" s="11"/>
    </row>
    <row r="95" spans="1:9" ht="19.5" customHeight="1">
      <c r="A95" s="12"/>
      <c r="B95" s="19" t="s">
        <v>411</v>
      </c>
      <c r="C95" s="19" t="str">
        <f>Copropriété!D4</f>
        <v>Générales</v>
      </c>
      <c r="D95" s="19" t="str">
        <f>Copropriété!E4</f>
        <v>Escalier</v>
      </c>
      <c r="E95" s="19" t="str">
        <f>Copropriété!F4</f>
        <v>Eau</v>
      </c>
      <c r="F95" s="19" t="str">
        <f>Copropriété!G4</f>
        <v>Charge1</v>
      </c>
      <c r="G95" s="19" t="str">
        <f>Copropriété!H4</f>
        <v>Charge2</v>
      </c>
      <c r="H95" s="19" t="str">
        <f>Copropriété!I4</f>
        <v>Travaux</v>
      </c>
      <c r="I95" s="18" t="str">
        <f>Copropriété!J4</f>
        <v>Provision</v>
      </c>
    </row>
    <row r="96" spans="1:10" ht="19.5" customHeight="1">
      <c r="A96" s="44" t="s">
        <v>391</v>
      </c>
      <c r="B96" s="323">
        <v>0</v>
      </c>
      <c r="C96" s="317"/>
      <c r="D96" s="318"/>
      <c r="E96" s="318"/>
      <c r="F96" s="318"/>
      <c r="G96" s="319"/>
      <c r="H96" s="319"/>
      <c r="I96" s="324">
        <v>0</v>
      </c>
      <c r="J96" s="321" t="s">
        <v>451</v>
      </c>
    </row>
    <row r="97" spans="1:10" ht="19.5" customHeight="1">
      <c r="A97" s="33" t="s">
        <v>369</v>
      </c>
      <c r="B97" s="166">
        <f aca="true" t="shared" si="8" ref="B97:B108">B96+(C97+D97+E97+F97+G97+H97+I97)+J97</f>
        <v>0</v>
      </c>
      <c r="C97" s="166">
        <f>'Livre de compte'!K17*Copropriété!D26/Copropriété!D30</f>
        <v>0</v>
      </c>
      <c r="D97" s="166">
        <f>'Livre de compte'!L17*Copropriété!E26/Copropriété!E30</f>
        <v>0</v>
      </c>
      <c r="E97" s="166">
        <f>'Livre de compte'!M17*Copropriété!F26/Copropriété!F30</f>
        <v>0</v>
      </c>
      <c r="F97" s="166">
        <f>'Livre de compte'!N17*Copropriété!G26/Copropriété!G30</f>
        <v>0</v>
      </c>
      <c r="G97" s="166">
        <f>'Livre de compte'!O17*Copropriété!H26/Copropriété!H30</f>
        <v>0</v>
      </c>
      <c r="H97" s="166">
        <f>'Livre de compte'!P17*Copropriété!I26/Copropriété!I30</f>
        <v>0</v>
      </c>
      <c r="I97" s="166">
        <f>'Livre de compte'!Q17*Copropriété!J26/Copropriété!J30</f>
        <v>0</v>
      </c>
      <c r="J97" s="166">
        <f>'Livre de compte'!V17</f>
        <v>0</v>
      </c>
    </row>
    <row r="98" spans="1:10" ht="19.5" customHeight="1">
      <c r="A98" s="33" t="s">
        <v>135</v>
      </c>
      <c r="B98" s="166">
        <f t="shared" si="8"/>
        <v>0</v>
      </c>
      <c r="C98" s="166">
        <f>'Livre de compte'!K30*Copropriété!D26/Copropriété!D30</f>
        <v>0</v>
      </c>
      <c r="D98" s="166">
        <f>'Livre de compte'!L30*Copropriété!E26/Copropriété!E30</f>
        <v>0</v>
      </c>
      <c r="E98" s="166">
        <f>'Livre de compte'!M30*Copropriété!F26/Copropriété!F30</f>
        <v>0</v>
      </c>
      <c r="F98" s="166">
        <f>'Livre de compte'!N30*Copropriété!G26/Copropriété!G30</f>
        <v>0</v>
      </c>
      <c r="G98" s="166">
        <f>'Livre de compte'!O30*Copropriété!H26/Copropriété!H30</f>
        <v>0</v>
      </c>
      <c r="H98" s="166">
        <f>'Livre de compte'!P30*Copropriété!I26/Copropriété!I30</f>
        <v>0</v>
      </c>
      <c r="I98" s="166">
        <f>'Livre de compte'!Q30*Copropriété!J26/Copropriété!J30</f>
        <v>0</v>
      </c>
      <c r="J98" s="166">
        <f>'Livre de compte'!V30</f>
        <v>0</v>
      </c>
    </row>
    <row r="99" spans="1:10" ht="19.5" customHeight="1">
      <c r="A99" s="33" t="s">
        <v>393</v>
      </c>
      <c r="B99" s="166">
        <f t="shared" si="8"/>
        <v>0</v>
      </c>
      <c r="C99" s="166">
        <f>'Livre de compte'!K43*Copropriété!D26/Copropriété!D30</f>
        <v>0</v>
      </c>
      <c r="D99" s="166">
        <f>'Livre de compte'!L43*Copropriété!E26/Copropriété!E30</f>
        <v>0</v>
      </c>
      <c r="E99" s="166">
        <f>'Livre de compte'!M43*Copropriété!F26/Copropriété!F30</f>
        <v>0</v>
      </c>
      <c r="F99" s="166">
        <f>'Livre de compte'!N43*Copropriété!G26/Copropriété!G30</f>
        <v>0</v>
      </c>
      <c r="G99" s="166">
        <f>'Livre de compte'!O43*Copropriété!H26/Copropriété!H30</f>
        <v>0</v>
      </c>
      <c r="H99" s="166">
        <f>'Livre de compte'!P43*Copropriété!I26/Copropriété!I30</f>
        <v>0</v>
      </c>
      <c r="I99" s="166">
        <f>'Livre de compte'!Q43*Copropriété!J26/Copropriété!J30</f>
        <v>0</v>
      </c>
      <c r="J99" s="166">
        <f>'Livre de compte'!V43</f>
        <v>0</v>
      </c>
    </row>
    <row r="100" spans="1:10" ht="19.5" customHeight="1">
      <c r="A100" s="33" t="s">
        <v>288</v>
      </c>
      <c r="B100" s="166">
        <f t="shared" si="8"/>
        <v>0</v>
      </c>
      <c r="C100" s="166">
        <f>'Livre de compte'!K60*Copropriété!D26/Copropriété!D30</f>
        <v>0</v>
      </c>
      <c r="D100" s="166">
        <f>'Livre de compte'!L60*Copropriété!E26/Copropriété!E30</f>
        <v>0</v>
      </c>
      <c r="E100" s="166">
        <f>'Livre de compte'!M60*Copropriété!F26/Copropriété!F30</f>
        <v>0</v>
      </c>
      <c r="F100" s="166">
        <f>'Livre de compte'!N60*Copropriété!G26/Copropriété!G30</f>
        <v>0</v>
      </c>
      <c r="G100" s="166">
        <f>'Livre de compte'!O60*Copropriété!H26/Copropriété!H30</f>
        <v>0</v>
      </c>
      <c r="H100" s="166">
        <f>'Livre de compte'!P60*Copropriété!I26/Copropriété!I30</f>
        <v>0</v>
      </c>
      <c r="I100" s="166">
        <f>'Livre de compte'!Q60*Copropriété!J26/Copropriété!J30</f>
        <v>0</v>
      </c>
      <c r="J100" s="166">
        <f>'Livre de compte'!V60</f>
        <v>0</v>
      </c>
    </row>
    <row r="101" spans="1:10" ht="19.5" customHeight="1">
      <c r="A101" s="33" t="s">
        <v>281</v>
      </c>
      <c r="B101" s="166">
        <f t="shared" si="8"/>
        <v>0</v>
      </c>
      <c r="C101" s="166">
        <f>'Livre de compte'!K73*Copropriété!D26/Copropriété!D30</f>
        <v>0</v>
      </c>
      <c r="D101" s="166">
        <f>'Livre de compte'!L73*Copropriété!E26/Copropriété!E30</f>
        <v>0</v>
      </c>
      <c r="E101" s="166">
        <f>'Livre de compte'!M73*Copropriété!F26/Copropriété!F30</f>
        <v>0</v>
      </c>
      <c r="F101" s="166">
        <f>'Livre de compte'!N73*Copropriété!G26/Copropriété!G30</f>
        <v>0</v>
      </c>
      <c r="G101" s="166">
        <f>'Livre de compte'!O73*Copropriété!H26/Copropriété!H30</f>
        <v>0</v>
      </c>
      <c r="H101" s="166">
        <f>'Livre de compte'!P73*Copropriété!I26/Copropriété!I30</f>
        <v>0</v>
      </c>
      <c r="I101" s="166">
        <f>'Livre de compte'!Q73*Copropriété!J26/Copropriété!J30</f>
        <v>0</v>
      </c>
      <c r="J101" s="166">
        <f>'Livre de compte'!V73</f>
        <v>0</v>
      </c>
    </row>
    <row r="102" spans="1:10" ht="19.5" customHeight="1">
      <c r="A102" s="33" t="s">
        <v>189</v>
      </c>
      <c r="B102" s="166">
        <f t="shared" si="8"/>
        <v>0</v>
      </c>
      <c r="C102" s="166">
        <f>'Livre de compte'!K86*Copropriété!D26/Copropriété!D30</f>
        <v>0</v>
      </c>
      <c r="D102" s="166">
        <f>'Livre de compte'!L86*Copropriété!E26/Copropriété!E30</f>
        <v>0</v>
      </c>
      <c r="E102" s="166">
        <f>'Livre de compte'!M86*Copropriété!F26/Copropriété!F30</f>
        <v>0</v>
      </c>
      <c r="F102" s="166">
        <f>'Livre de compte'!N86*Copropriété!G26/Copropriété!G30</f>
        <v>0</v>
      </c>
      <c r="G102" s="166">
        <f>'Livre de compte'!O86*Copropriété!H26/Copropriété!H30</f>
        <v>0</v>
      </c>
      <c r="H102" s="166">
        <f>'Livre de compte'!P86*Copropriété!I26/Copropriété!I30</f>
        <v>0</v>
      </c>
      <c r="I102" s="166">
        <f>'Livre de compte'!Q86*Copropriété!J26/Copropriété!J30</f>
        <v>0</v>
      </c>
      <c r="J102" s="166">
        <f>'Livre de compte'!V86</f>
        <v>0</v>
      </c>
    </row>
    <row r="103" spans="1:10" ht="19.5" customHeight="1">
      <c r="A103" s="33" t="s">
        <v>55</v>
      </c>
      <c r="B103" s="166">
        <f t="shared" si="8"/>
        <v>0</v>
      </c>
      <c r="C103" s="166">
        <f>'Livre de compte'!K103*Copropriété!D26/Copropriété!D30</f>
        <v>0</v>
      </c>
      <c r="D103" s="166">
        <f>'Livre de compte'!L103*Copropriété!E26/Copropriété!E30</f>
        <v>0</v>
      </c>
      <c r="E103" s="166">
        <f>'Livre de compte'!M103*Copropriété!F26/Copropriété!F30</f>
        <v>0</v>
      </c>
      <c r="F103" s="166">
        <f>'Livre de compte'!N103*Copropriété!G26/Copropriété!G30</f>
        <v>0</v>
      </c>
      <c r="G103" s="166">
        <f>'Livre de compte'!O103*Copropriété!H26/Copropriété!H30</f>
        <v>0</v>
      </c>
      <c r="H103" s="166">
        <f>'Livre de compte'!P103*Copropriété!I26/Copropriété!I30</f>
        <v>0</v>
      </c>
      <c r="I103" s="166">
        <f>'Livre de compte'!Q103*Copropriété!J26/Copropriété!J30</f>
        <v>0</v>
      </c>
      <c r="J103" s="166">
        <f>'Livre de compte'!V103</f>
        <v>0</v>
      </c>
    </row>
    <row r="104" spans="1:10" ht="19.5" customHeight="1">
      <c r="A104" s="33" t="s">
        <v>56</v>
      </c>
      <c r="B104" s="166">
        <f t="shared" si="8"/>
        <v>0</v>
      </c>
      <c r="C104" s="166">
        <f>'Livre de compte'!K116*Copropriété!D26/Copropriété!D30</f>
        <v>0</v>
      </c>
      <c r="D104" s="166">
        <f>'Livre de compte'!L116*Copropriété!E26/Copropriété!E30</f>
        <v>0</v>
      </c>
      <c r="E104" s="166">
        <f>'Livre de compte'!M116*Copropriété!F26/Copropriété!F30</f>
        <v>0</v>
      </c>
      <c r="F104" s="166">
        <f>'Livre de compte'!N116*Copropriété!G26/Copropriété!G30</f>
        <v>0</v>
      </c>
      <c r="G104" s="166">
        <f>'Livre de compte'!O116*Copropriété!H26/Copropriété!H30</f>
        <v>0</v>
      </c>
      <c r="H104" s="166">
        <f>'Livre de compte'!P116*Copropriété!I26/Copropriété!I30</f>
        <v>0</v>
      </c>
      <c r="I104" s="166">
        <f>'Livre de compte'!Q116*Copropriété!J26/Copropriété!J30</f>
        <v>0</v>
      </c>
      <c r="J104" s="166">
        <f>'Livre de compte'!V116</f>
        <v>0</v>
      </c>
    </row>
    <row r="105" spans="1:10" ht="19.5" customHeight="1">
      <c r="A105" s="33" t="s">
        <v>57</v>
      </c>
      <c r="B105" s="166">
        <f t="shared" si="8"/>
        <v>0</v>
      </c>
      <c r="C105" s="166">
        <f>'Livre de compte'!K129*Copropriété!D26/Copropriété!D30</f>
        <v>0</v>
      </c>
      <c r="D105" s="166">
        <f>'Livre de compte'!L129*Copropriété!E26/Copropriété!E30</f>
        <v>0</v>
      </c>
      <c r="E105" s="166">
        <f>'Livre de compte'!M129*Copropriété!F26/Copropriété!F30</f>
        <v>0</v>
      </c>
      <c r="F105" s="166">
        <f>'Livre de compte'!N129*Copropriété!G26/Copropriété!G30</f>
        <v>0</v>
      </c>
      <c r="G105" s="166">
        <f>'Livre de compte'!O129*Copropriété!H26/Copropriété!H30</f>
        <v>0</v>
      </c>
      <c r="H105" s="166">
        <f>'Livre de compte'!P129*Copropriété!I26/Copropriété!I30</f>
        <v>0</v>
      </c>
      <c r="I105" s="166">
        <f>'Livre de compte'!Q129*Copropriété!J26/Copropriété!J30</f>
        <v>0</v>
      </c>
      <c r="J105" s="166">
        <f>'Livre de compte'!V129</f>
        <v>0</v>
      </c>
    </row>
    <row r="106" spans="1:10" ht="19.5" customHeight="1">
      <c r="A106" s="33" t="s">
        <v>58</v>
      </c>
      <c r="B106" s="166">
        <f t="shared" si="8"/>
        <v>0</v>
      </c>
      <c r="C106" s="166">
        <f>'Livre de compte'!K146*Copropriété!D26/Copropriété!D30</f>
        <v>0</v>
      </c>
      <c r="D106" s="166">
        <f>'Livre de compte'!L146*Copropriété!E26/Copropriété!E30</f>
        <v>0</v>
      </c>
      <c r="E106" s="166">
        <f>'Livre de compte'!M146*Copropriété!F26/Copropriété!F30</f>
        <v>0</v>
      </c>
      <c r="F106" s="166">
        <f>'Livre de compte'!N146*Copropriété!G26/Copropriété!G30</f>
        <v>0</v>
      </c>
      <c r="G106" s="166">
        <f>'Livre de compte'!O146*Copropriété!H26/Copropriété!H30</f>
        <v>0</v>
      </c>
      <c r="H106" s="166">
        <f>'Livre de compte'!P146*Copropriété!I26/Copropriété!I30</f>
        <v>0</v>
      </c>
      <c r="I106" s="166">
        <f>'Livre de compte'!Q146*Copropriété!J26/Copropriété!J30</f>
        <v>0</v>
      </c>
      <c r="J106" s="166">
        <f>'Livre de compte'!V146</f>
        <v>0</v>
      </c>
    </row>
    <row r="107" spans="1:10" ht="19.5" customHeight="1">
      <c r="A107" s="33" t="s">
        <v>59</v>
      </c>
      <c r="B107" s="166">
        <f t="shared" si="8"/>
        <v>0</v>
      </c>
      <c r="C107" s="166">
        <f>'Livre de compte'!K159*Copropriété!D26/Copropriété!D30</f>
        <v>0</v>
      </c>
      <c r="D107" s="166">
        <f>'Livre de compte'!L159*Copropriété!E26/Copropriété!E30</f>
        <v>0</v>
      </c>
      <c r="E107" s="166">
        <f>'Livre de compte'!M159*Copropriété!F26/Copropriété!F30</f>
        <v>0</v>
      </c>
      <c r="F107" s="166">
        <f>'Livre de compte'!N159*Copropriété!G26/Copropriété!G30</f>
        <v>0</v>
      </c>
      <c r="G107" s="166">
        <f>'Livre de compte'!O159*Copropriété!H26/Copropriété!H30</f>
        <v>0</v>
      </c>
      <c r="H107" s="166">
        <f>'Livre de compte'!P159*Copropriété!I26/Copropriété!I30</f>
        <v>0</v>
      </c>
      <c r="I107" s="166">
        <f>'Livre de compte'!Q159*Copropriété!J26/Copropriété!J30</f>
        <v>0</v>
      </c>
      <c r="J107" s="166">
        <f>'Livre de compte'!V159</f>
        <v>0</v>
      </c>
    </row>
    <row r="108" spans="1:10" ht="19.5" customHeight="1">
      <c r="A108" s="33" t="s">
        <v>197</v>
      </c>
      <c r="B108" s="166">
        <f t="shared" si="8"/>
        <v>0</v>
      </c>
      <c r="C108" s="166">
        <f>'Livre de compte'!K172*Copropriété!D26/Copropriété!D30</f>
        <v>0</v>
      </c>
      <c r="D108" s="166">
        <f>'Livre de compte'!L172*Copropriété!E26/Copropriété!E30</f>
        <v>0</v>
      </c>
      <c r="E108" s="166">
        <f>'Livre de compte'!M172*Copropriété!F26/Copropriété!F30</f>
        <v>0</v>
      </c>
      <c r="F108" s="166">
        <f>'Livre de compte'!N172*Copropriété!G26/Copropriété!G30</f>
        <v>0</v>
      </c>
      <c r="G108" s="166">
        <f>'Livre de compte'!O172*Copropriété!H26/Copropriété!H30</f>
        <v>0</v>
      </c>
      <c r="H108" s="166">
        <f>'Livre de compte'!P172*Copropriété!I26/Copropriété!I30</f>
        <v>0</v>
      </c>
      <c r="I108" s="166">
        <f>'Livre de compte'!Q172*Copropriété!J26/Copropriété!J30</f>
        <v>0</v>
      </c>
      <c r="J108" s="166">
        <f>'Livre de compte'!V172</f>
        <v>0</v>
      </c>
    </row>
    <row r="109" spans="1:10" ht="19.5" customHeight="1">
      <c r="A109" s="33" t="s">
        <v>439</v>
      </c>
      <c r="B109" s="166">
        <f>B108</f>
        <v>0</v>
      </c>
      <c r="C109" s="166">
        <f aca="true" t="shared" si="9" ref="C109:J109">SUM(C97:C108)</f>
        <v>0</v>
      </c>
      <c r="D109" s="166">
        <f t="shared" si="9"/>
        <v>0</v>
      </c>
      <c r="E109" s="166">
        <f t="shared" si="9"/>
        <v>0</v>
      </c>
      <c r="F109" s="166">
        <f t="shared" si="9"/>
        <v>0</v>
      </c>
      <c r="G109" s="166">
        <f t="shared" si="9"/>
        <v>0</v>
      </c>
      <c r="H109" s="166">
        <f t="shared" si="9"/>
        <v>0</v>
      </c>
      <c r="I109" s="166">
        <f t="shared" si="9"/>
        <v>0</v>
      </c>
      <c r="J109" s="166">
        <f t="shared" si="9"/>
        <v>0</v>
      </c>
    </row>
    <row r="110" spans="1:9" ht="19.5" customHeight="1">
      <c r="A110" s="11"/>
      <c r="B110" s="11"/>
      <c r="C110" s="11"/>
      <c r="D110" s="11"/>
      <c r="E110" s="11"/>
      <c r="F110" s="11"/>
      <c r="G110" s="11"/>
      <c r="H110" s="11"/>
      <c r="I110" s="11"/>
    </row>
    <row r="111" ht="19.5" customHeight="1">
      <c r="A111" s="37" t="s">
        <v>352</v>
      </c>
    </row>
    <row r="112" spans="1:3" ht="19.5" customHeight="1">
      <c r="A112" s="10" t="s">
        <v>10</v>
      </c>
      <c r="C112" s="322">
        <f>C109+D109+E109+F109+G109+H109+I109</f>
        <v>0</v>
      </c>
    </row>
    <row r="113" spans="1:3" ht="19.5" customHeight="1">
      <c r="A113" s="10" t="s">
        <v>146</v>
      </c>
      <c r="C113" s="322">
        <f>J109</f>
        <v>0</v>
      </c>
    </row>
    <row r="114" spans="1:8" ht="19.5" customHeight="1">
      <c r="A114" s="10" t="s">
        <v>437</v>
      </c>
      <c r="C114" s="322">
        <f>B109</f>
        <v>0</v>
      </c>
      <c r="E114" s="10" t="s">
        <v>236</v>
      </c>
      <c r="F114" s="10"/>
      <c r="G114" s="322">
        <f>-(I109)+I96</f>
        <v>0</v>
      </c>
      <c r="H114" s="322"/>
    </row>
    <row r="115" spans="1:8" ht="19.5" customHeight="1">
      <c r="A115" s="10"/>
      <c r="C115" s="322"/>
      <c r="E115" s="10"/>
      <c r="F115" s="10"/>
      <c r="G115" s="322"/>
      <c r="H115" s="322"/>
    </row>
    <row r="116" spans="1:10" ht="19.5" customHeight="1">
      <c r="A116" s="9" t="s">
        <v>471</v>
      </c>
      <c r="B116" s="11"/>
      <c r="C116" s="11"/>
      <c r="D116" s="11"/>
      <c r="E116" s="11"/>
      <c r="F116" s="11"/>
      <c r="G116" s="11"/>
      <c r="H116" s="11"/>
      <c r="I116" s="11"/>
      <c r="J116" s="32" t="str">
        <f>J24</f>
        <v>Exercice 2015</v>
      </c>
    </row>
    <row r="117" spans="1:9" ht="19.5" customHeight="1">
      <c r="A117" s="11"/>
      <c r="B117" s="11"/>
      <c r="C117" s="11"/>
      <c r="D117" s="11"/>
      <c r="E117" s="11"/>
      <c r="F117" s="11"/>
      <c r="G117" s="11"/>
      <c r="H117" s="11"/>
      <c r="I117" s="11"/>
    </row>
    <row r="118" spans="1:9" ht="19.5" customHeight="1">
      <c r="A118" s="12"/>
      <c r="B118" s="19" t="s">
        <v>411</v>
      </c>
      <c r="C118" s="19" t="str">
        <f>Copropriété!D4</f>
        <v>Générales</v>
      </c>
      <c r="D118" s="19" t="str">
        <f>Copropriété!E4</f>
        <v>Escalier</v>
      </c>
      <c r="E118" s="19" t="str">
        <f>Copropriété!F4</f>
        <v>Eau</v>
      </c>
      <c r="F118" s="19" t="str">
        <f>Copropriété!G4</f>
        <v>Charge1</v>
      </c>
      <c r="G118" s="19" t="str">
        <f>Copropriété!H4</f>
        <v>Charge2</v>
      </c>
      <c r="H118" s="19" t="str">
        <f>Copropriété!I4</f>
        <v>Travaux</v>
      </c>
      <c r="I118" s="19" t="str">
        <f>Copropriété!J4</f>
        <v>Provision</v>
      </c>
    </row>
    <row r="119" spans="1:10" ht="19.5" customHeight="1">
      <c r="A119" s="44" t="s">
        <v>391</v>
      </c>
      <c r="B119" s="323">
        <v>0</v>
      </c>
      <c r="C119" s="317"/>
      <c r="D119" s="318"/>
      <c r="E119" s="318"/>
      <c r="F119" s="318"/>
      <c r="G119" s="319"/>
      <c r="H119" s="319"/>
      <c r="I119" s="324">
        <v>0</v>
      </c>
      <c r="J119" s="321" t="s">
        <v>451</v>
      </c>
    </row>
    <row r="120" spans="1:10" ht="19.5" customHeight="1">
      <c r="A120" s="33" t="s">
        <v>369</v>
      </c>
      <c r="B120" s="166">
        <f aca="true" t="shared" si="10" ref="B120:B131">B119+(C120+D120+E120+F120+G120+H120+I120)+J120</f>
        <v>0</v>
      </c>
      <c r="C120" s="166">
        <f>'Livre de compte'!K17*Copropriété!D$31/Copropriété!D$35</f>
        <v>0</v>
      </c>
      <c r="D120" s="166">
        <f>'Livre de compte'!L17*Copropriété!E$31/Copropriété!E$35</f>
        <v>0</v>
      </c>
      <c r="E120" s="166">
        <f>'Livre de compte'!M17*Copropriété!F$31/Copropriété!F$35</f>
        <v>0</v>
      </c>
      <c r="F120" s="166">
        <f>'Livre de compte'!N17*Copropriété!G$31/Copropriété!G$35</f>
        <v>0</v>
      </c>
      <c r="G120" s="166">
        <f>'Livre de compte'!O17*Copropriété!H$31/Copropriété!H$35</f>
        <v>0</v>
      </c>
      <c r="H120" s="166">
        <f>'Livre de compte'!P17*Copropriété!I$31/Copropriété!I$35</f>
        <v>0</v>
      </c>
      <c r="I120" s="166">
        <f>'Livre de compte'!Q17*Copropriété!J$31/Copropriété!J$35</f>
        <v>0</v>
      </c>
      <c r="J120" s="166">
        <f>'Livre de compte'!W17</f>
        <v>0</v>
      </c>
    </row>
    <row r="121" spans="1:10" ht="19.5" customHeight="1">
      <c r="A121" s="33" t="s">
        <v>135</v>
      </c>
      <c r="B121" s="166">
        <f t="shared" si="10"/>
        <v>0</v>
      </c>
      <c r="C121" s="166">
        <f>'Livre de compte'!K30*Copropriété!D$31/Copropriété!D$35</f>
        <v>0</v>
      </c>
      <c r="D121" s="166">
        <f>'Livre de compte'!L30*Copropriété!E$31/Copropriété!E$35</f>
        <v>0</v>
      </c>
      <c r="E121" s="166">
        <f>'Livre de compte'!M30*Copropriété!F$31/Copropriété!F$35</f>
        <v>0</v>
      </c>
      <c r="F121" s="166">
        <f>'Livre de compte'!N30*Copropriété!G$31/Copropriété!G$35</f>
        <v>0</v>
      </c>
      <c r="G121" s="166">
        <f>'Livre de compte'!O30*Copropriété!H$31/Copropriété!H$35</f>
        <v>0</v>
      </c>
      <c r="H121" s="166">
        <f>'Livre de compte'!P30*Copropriété!I$31/Copropriété!I$35</f>
        <v>0</v>
      </c>
      <c r="I121" s="166">
        <f>'Livre de compte'!Q30*Copropriété!J$31/Copropriété!J$35</f>
        <v>0</v>
      </c>
      <c r="J121" s="166">
        <f>'Livre de compte'!W30</f>
        <v>0</v>
      </c>
    </row>
    <row r="122" spans="1:10" ht="19.5" customHeight="1">
      <c r="A122" s="33" t="s">
        <v>393</v>
      </c>
      <c r="B122" s="166">
        <f t="shared" si="10"/>
        <v>0</v>
      </c>
      <c r="C122" s="166">
        <f>'Livre de compte'!K43*Copropriété!D$31/Copropriété!D$35</f>
        <v>0</v>
      </c>
      <c r="D122" s="166">
        <f>'Livre de compte'!L43*Copropriété!E$31/Copropriété!E$35</f>
        <v>0</v>
      </c>
      <c r="E122" s="166">
        <f>'Livre de compte'!M43*Copropriété!F$31/Copropriété!F$35</f>
        <v>0</v>
      </c>
      <c r="F122" s="166">
        <f>'Livre de compte'!N43*Copropriété!G$31/Copropriété!G$35</f>
        <v>0</v>
      </c>
      <c r="G122" s="166">
        <f>'Livre de compte'!O43*Copropriété!H$31/Copropriété!H$35</f>
        <v>0</v>
      </c>
      <c r="H122" s="166">
        <f>'Livre de compte'!P43*Copropriété!I$31/Copropriété!I$35</f>
        <v>0</v>
      </c>
      <c r="I122" s="166">
        <f>'Livre de compte'!Q43*Copropriété!J$31/Copropriété!J$35</f>
        <v>0</v>
      </c>
      <c r="J122" s="166">
        <f>'Livre de compte'!W43</f>
        <v>0</v>
      </c>
    </row>
    <row r="123" spans="1:10" ht="19.5" customHeight="1">
      <c r="A123" s="33" t="s">
        <v>288</v>
      </c>
      <c r="B123" s="166">
        <f t="shared" si="10"/>
        <v>0</v>
      </c>
      <c r="C123" s="166">
        <f>'Livre de compte'!K60*Copropriété!D$31/Copropriété!D$35</f>
        <v>0</v>
      </c>
      <c r="D123" s="166">
        <f>'Livre de compte'!L60*Copropriété!E$31/Copropriété!E$35</f>
        <v>0</v>
      </c>
      <c r="E123" s="166">
        <f>'Livre de compte'!M60*Copropriété!F$31/Copropriété!F$35</f>
        <v>0</v>
      </c>
      <c r="F123" s="166">
        <f>'Livre de compte'!N60*Copropriété!G$31/Copropriété!G$35</f>
        <v>0</v>
      </c>
      <c r="G123" s="166">
        <f>'Livre de compte'!O60*Copropriété!H$31/Copropriété!H$35</f>
        <v>0</v>
      </c>
      <c r="H123" s="166">
        <f>'Livre de compte'!P60*Copropriété!I$31/Copropriété!I$35</f>
        <v>0</v>
      </c>
      <c r="I123" s="166">
        <f>'Livre de compte'!Q60*Copropriété!J$31/Copropriété!J$35</f>
        <v>0</v>
      </c>
      <c r="J123" s="166">
        <f>'Livre de compte'!W60</f>
        <v>0</v>
      </c>
    </row>
    <row r="124" spans="1:10" ht="19.5" customHeight="1">
      <c r="A124" s="33" t="s">
        <v>281</v>
      </c>
      <c r="B124" s="166">
        <f t="shared" si="10"/>
        <v>0</v>
      </c>
      <c r="C124" s="166">
        <f>'Livre de compte'!K73*Copropriété!D$31/Copropriété!D$35</f>
        <v>0</v>
      </c>
      <c r="D124" s="166">
        <f>'Livre de compte'!L73*Copropriété!E$31/Copropriété!E$35</f>
        <v>0</v>
      </c>
      <c r="E124" s="166">
        <f>'Livre de compte'!M73*Copropriété!F$31/Copropriété!F$35</f>
        <v>0</v>
      </c>
      <c r="F124" s="166">
        <f>'Livre de compte'!N73*Copropriété!G$31/Copropriété!G$35</f>
        <v>0</v>
      </c>
      <c r="G124" s="166">
        <f>'Livre de compte'!O73*Copropriété!H$31/Copropriété!H$35</f>
        <v>0</v>
      </c>
      <c r="H124" s="166">
        <f>'Livre de compte'!P73*Copropriété!I$31/Copropriété!I$35</f>
        <v>0</v>
      </c>
      <c r="I124" s="166">
        <f>'Livre de compte'!Q73*Copropriété!J$31/Copropriété!J$35</f>
        <v>0</v>
      </c>
      <c r="J124" s="166">
        <f>'Livre de compte'!W73</f>
        <v>0</v>
      </c>
    </row>
    <row r="125" spans="1:10" ht="19.5" customHeight="1">
      <c r="A125" s="33" t="s">
        <v>189</v>
      </c>
      <c r="B125" s="166">
        <f t="shared" si="10"/>
        <v>0</v>
      </c>
      <c r="C125" s="166">
        <f>'Livre de compte'!K86*Copropriété!D$31/Copropriété!D$35</f>
        <v>0</v>
      </c>
      <c r="D125" s="166">
        <f>'Livre de compte'!L86*Copropriété!E$31/Copropriété!E$35</f>
        <v>0</v>
      </c>
      <c r="E125" s="166">
        <f>'Livre de compte'!M86*Copropriété!F$31/Copropriété!F$35</f>
        <v>0</v>
      </c>
      <c r="F125" s="166">
        <f>'Livre de compte'!N86*Copropriété!G$31/Copropriété!G$35</f>
        <v>0</v>
      </c>
      <c r="G125" s="166">
        <f>'Livre de compte'!O86*Copropriété!H$31/Copropriété!H$35</f>
        <v>0</v>
      </c>
      <c r="H125" s="166">
        <f>'Livre de compte'!P86*Copropriété!I$31/Copropriété!I$35</f>
        <v>0</v>
      </c>
      <c r="I125" s="166">
        <f>'Livre de compte'!Q86*Copropriété!J$31/Copropriété!J$35</f>
        <v>0</v>
      </c>
      <c r="J125" s="166">
        <f>'Livre de compte'!W86</f>
        <v>0</v>
      </c>
    </row>
    <row r="126" spans="1:10" ht="19.5" customHeight="1">
      <c r="A126" s="33" t="s">
        <v>55</v>
      </c>
      <c r="B126" s="166">
        <f t="shared" si="10"/>
        <v>0</v>
      </c>
      <c r="C126" s="166">
        <f>'Livre de compte'!K103*Copropriété!D$31/Copropriété!D$35</f>
        <v>0</v>
      </c>
      <c r="D126" s="166">
        <f>'Livre de compte'!L103*Copropriété!E$31/Copropriété!E$35</f>
        <v>0</v>
      </c>
      <c r="E126" s="166">
        <f>'Livre de compte'!M103*Copropriété!F$31/Copropriété!F$35</f>
        <v>0</v>
      </c>
      <c r="F126" s="166">
        <f>'Livre de compte'!N103*Copropriété!G$31/Copropriété!G$35</f>
        <v>0</v>
      </c>
      <c r="G126" s="166">
        <f>'Livre de compte'!O103*Copropriété!H$31/Copropriété!H$35</f>
        <v>0</v>
      </c>
      <c r="H126" s="166">
        <f>'Livre de compte'!P103*Copropriété!I$31/Copropriété!I$35</f>
        <v>0</v>
      </c>
      <c r="I126" s="166">
        <f>'Livre de compte'!Q103*Copropriété!J$31/Copropriété!J$35</f>
        <v>0</v>
      </c>
      <c r="J126" s="166">
        <f>'Livre de compte'!W103</f>
        <v>0</v>
      </c>
    </row>
    <row r="127" spans="1:10" ht="19.5" customHeight="1">
      <c r="A127" s="33" t="s">
        <v>56</v>
      </c>
      <c r="B127" s="166">
        <f t="shared" si="10"/>
        <v>0</v>
      </c>
      <c r="C127" s="166">
        <f>'Livre de compte'!K116*Copropriété!D$31/Copropriété!D$35</f>
        <v>0</v>
      </c>
      <c r="D127" s="166">
        <f>'Livre de compte'!L116*Copropriété!E$31/Copropriété!E$35</f>
        <v>0</v>
      </c>
      <c r="E127" s="166">
        <f>'Livre de compte'!M116*Copropriété!F$31/Copropriété!F$35</f>
        <v>0</v>
      </c>
      <c r="F127" s="166">
        <f>'Livre de compte'!N116*Copropriété!G$31/Copropriété!G$35</f>
        <v>0</v>
      </c>
      <c r="G127" s="166">
        <f>'Livre de compte'!O116*Copropriété!H$31/Copropriété!H$35</f>
        <v>0</v>
      </c>
      <c r="H127" s="166">
        <f>'Livre de compte'!P116*Copropriété!I$31/Copropriété!I$35</f>
        <v>0</v>
      </c>
      <c r="I127" s="166">
        <f>'Livre de compte'!Q116*Copropriété!J$31/Copropriété!J$35</f>
        <v>0</v>
      </c>
      <c r="J127" s="166">
        <f>'Livre de compte'!W116</f>
        <v>0</v>
      </c>
    </row>
    <row r="128" spans="1:10" ht="19.5" customHeight="1">
      <c r="A128" s="33" t="s">
        <v>57</v>
      </c>
      <c r="B128" s="166">
        <f t="shared" si="10"/>
        <v>0</v>
      </c>
      <c r="C128" s="166">
        <f>'Livre de compte'!K129*Copropriété!D$31/Copropriété!D$35</f>
        <v>0</v>
      </c>
      <c r="D128" s="166">
        <f>'Livre de compte'!L129*Copropriété!E$31/Copropriété!E$35</f>
        <v>0</v>
      </c>
      <c r="E128" s="166">
        <f>'Livre de compte'!M129*Copropriété!F$31/Copropriété!F$35</f>
        <v>0</v>
      </c>
      <c r="F128" s="166">
        <f>'Livre de compte'!N129*Copropriété!G$31/Copropriété!G$35</f>
        <v>0</v>
      </c>
      <c r="G128" s="166">
        <f>'Livre de compte'!O129*Copropriété!H$31/Copropriété!H$35</f>
        <v>0</v>
      </c>
      <c r="H128" s="166">
        <f>'Livre de compte'!P129*Copropriété!I$31/Copropriété!I$35</f>
        <v>0</v>
      </c>
      <c r="I128" s="166">
        <f>'Livre de compte'!Q129*Copropriété!J$31/Copropriété!J$35</f>
        <v>0</v>
      </c>
      <c r="J128" s="166">
        <f>'Livre de compte'!W129</f>
        <v>0</v>
      </c>
    </row>
    <row r="129" spans="1:10" ht="19.5" customHeight="1">
      <c r="A129" s="33" t="s">
        <v>58</v>
      </c>
      <c r="B129" s="166">
        <f t="shared" si="10"/>
        <v>0</v>
      </c>
      <c r="C129" s="166">
        <f>'Livre de compte'!K146*Copropriété!D$31/Copropriété!D$35</f>
        <v>0</v>
      </c>
      <c r="D129" s="166">
        <f>'Livre de compte'!L146*Copropriété!E$31/Copropriété!E$35</f>
        <v>0</v>
      </c>
      <c r="E129" s="166">
        <f>'Livre de compte'!M146*Copropriété!F$31/Copropriété!F$35</f>
        <v>0</v>
      </c>
      <c r="F129" s="166">
        <f>'Livre de compte'!N146*Copropriété!G$31/Copropriété!G$35</f>
        <v>0</v>
      </c>
      <c r="G129" s="166">
        <f>'Livre de compte'!O146*Copropriété!H$31/Copropriété!H$35</f>
        <v>0</v>
      </c>
      <c r="H129" s="166">
        <f>'Livre de compte'!P146*Copropriété!I$31/Copropriété!I$35</f>
        <v>0</v>
      </c>
      <c r="I129" s="166">
        <f>'Livre de compte'!Q146*Copropriété!J$31/Copropriété!J$35</f>
        <v>0</v>
      </c>
      <c r="J129" s="166">
        <f>'Livre de compte'!W146</f>
        <v>0</v>
      </c>
    </row>
    <row r="130" spans="1:10" ht="19.5" customHeight="1">
      <c r="A130" s="33" t="s">
        <v>59</v>
      </c>
      <c r="B130" s="166">
        <f t="shared" si="10"/>
        <v>0</v>
      </c>
      <c r="C130" s="166">
        <f>'Livre de compte'!K159*Copropriété!D$31/Copropriété!D$35</f>
        <v>0</v>
      </c>
      <c r="D130" s="166">
        <f>'Livre de compte'!L159*Copropriété!E$31/Copropriété!E$35</f>
        <v>0</v>
      </c>
      <c r="E130" s="166">
        <f>'Livre de compte'!M159*Copropriété!F$31/Copropriété!F$35</f>
        <v>0</v>
      </c>
      <c r="F130" s="166">
        <f>'Livre de compte'!N159*Copropriété!G$31/Copropriété!G$35</f>
        <v>0</v>
      </c>
      <c r="G130" s="166">
        <f>'Livre de compte'!O159*Copropriété!H$31/Copropriété!H$35</f>
        <v>0</v>
      </c>
      <c r="H130" s="166">
        <f>'Livre de compte'!P159*Copropriété!I$31/Copropriété!I$35</f>
        <v>0</v>
      </c>
      <c r="I130" s="166">
        <f>'Livre de compte'!Q159*Copropriété!J$31/Copropriété!J$35</f>
        <v>0</v>
      </c>
      <c r="J130" s="166">
        <f>'Livre de compte'!W159</f>
        <v>0</v>
      </c>
    </row>
    <row r="131" spans="1:10" ht="19.5" customHeight="1">
      <c r="A131" s="33" t="s">
        <v>197</v>
      </c>
      <c r="B131" s="166">
        <f t="shared" si="10"/>
        <v>0</v>
      </c>
      <c r="C131" s="166">
        <f>'Livre de compte'!K172*Copropriété!D$31/Copropriété!D$35</f>
        <v>0</v>
      </c>
      <c r="D131" s="166">
        <f>'Livre de compte'!L172*Copropriété!E$31/Copropriété!E$35</f>
        <v>0</v>
      </c>
      <c r="E131" s="166">
        <f>'Livre de compte'!M172*Copropriété!F$31/Copropriété!F$35</f>
        <v>0</v>
      </c>
      <c r="F131" s="166">
        <f>'Livre de compte'!N172*Copropriété!G$31/Copropriété!G$35</f>
        <v>0</v>
      </c>
      <c r="G131" s="166">
        <f>'Livre de compte'!O172*Copropriété!H$31/Copropriété!H$35</f>
        <v>0</v>
      </c>
      <c r="H131" s="166">
        <f>'Livre de compte'!P172*Copropriété!I$31/Copropriété!I$35</f>
        <v>0</v>
      </c>
      <c r="I131" s="166">
        <f>'Livre de compte'!Q172*Copropriété!J$31/Copropriété!J$35</f>
        <v>0</v>
      </c>
      <c r="J131" s="166">
        <f>'Livre de compte'!W172</f>
        <v>0</v>
      </c>
    </row>
    <row r="132" spans="1:10" ht="19.5" customHeight="1">
      <c r="A132" s="33" t="s">
        <v>439</v>
      </c>
      <c r="B132" s="166">
        <f>B131</f>
        <v>0</v>
      </c>
      <c r="C132" s="166">
        <f aca="true" t="shared" si="11" ref="C132:J132">SUM(C120:C131)</f>
        <v>0</v>
      </c>
      <c r="D132" s="166">
        <f t="shared" si="11"/>
        <v>0</v>
      </c>
      <c r="E132" s="166">
        <f t="shared" si="11"/>
        <v>0</v>
      </c>
      <c r="F132" s="166">
        <f t="shared" si="11"/>
        <v>0</v>
      </c>
      <c r="G132" s="166">
        <f t="shared" si="11"/>
        <v>0</v>
      </c>
      <c r="H132" s="166">
        <f t="shared" si="11"/>
        <v>0</v>
      </c>
      <c r="I132" s="166">
        <f t="shared" si="11"/>
        <v>0</v>
      </c>
      <c r="J132" s="166">
        <f t="shared" si="11"/>
        <v>0</v>
      </c>
    </row>
    <row r="133" spans="1:9" ht="19.5" customHeight="1">
      <c r="A133" s="11"/>
      <c r="B133" s="11"/>
      <c r="C133" s="11"/>
      <c r="D133" s="11"/>
      <c r="E133" s="11"/>
      <c r="F133" s="11"/>
      <c r="G133" s="11"/>
      <c r="H133" s="11"/>
      <c r="I133" s="11"/>
    </row>
    <row r="134" ht="19.5" customHeight="1">
      <c r="A134" s="37" t="s">
        <v>472</v>
      </c>
    </row>
    <row r="135" spans="1:3" ht="19.5" customHeight="1">
      <c r="A135" s="10" t="s">
        <v>10</v>
      </c>
      <c r="C135" s="322">
        <f>C132+D132+E132+F132+G132+H132+I132</f>
        <v>0</v>
      </c>
    </row>
    <row r="136" spans="1:3" ht="19.5" customHeight="1">
      <c r="A136" s="10" t="s">
        <v>146</v>
      </c>
      <c r="C136" s="322">
        <f>J132</f>
        <v>0</v>
      </c>
    </row>
    <row r="137" spans="1:8" ht="19.5" customHeight="1">
      <c r="A137" s="10" t="s">
        <v>437</v>
      </c>
      <c r="C137" s="322">
        <f>B132</f>
        <v>0</v>
      </c>
      <c r="E137" s="10" t="s">
        <v>236</v>
      </c>
      <c r="F137" s="10"/>
      <c r="G137" s="322">
        <f>-(I132)+I119</f>
        <v>0</v>
      </c>
      <c r="H137" s="322"/>
    </row>
    <row r="138" spans="1:8" ht="19.5" customHeight="1">
      <c r="A138" s="10"/>
      <c r="C138" s="322"/>
      <c r="E138" s="10"/>
      <c r="F138" s="10"/>
      <c r="G138" s="322"/>
      <c r="H138" s="322"/>
    </row>
    <row r="139" spans="1:10" ht="19.5" customHeight="1">
      <c r="A139" s="9" t="s">
        <v>473</v>
      </c>
      <c r="B139" s="11"/>
      <c r="C139" s="11"/>
      <c r="D139" s="11"/>
      <c r="E139" s="11"/>
      <c r="F139" s="11"/>
      <c r="G139" s="11"/>
      <c r="H139" s="11"/>
      <c r="I139" s="11"/>
      <c r="J139" s="32" t="str">
        <f>J47</f>
        <v>Exercice 2015</v>
      </c>
    </row>
    <row r="140" spans="1:9" ht="19.5" customHeight="1">
      <c r="A140" s="11"/>
      <c r="B140" s="11"/>
      <c r="C140" s="11"/>
      <c r="D140" s="11"/>
      <c r="E140" s="11"/>
      <c r="F140" s="11"/>
      <c r="G140" s="11"/>
      <c r="H140" s="11"/>
      <c r="I140" s="11"/>
    </row>
    <row r="141" spans="1:9" ht="19.5" customHeight="1">
      <c r="A141" s="12"/>
      <c r="B141" s="19" t="s">
        <v>411</v>
      </c>
      <c r="C141" s="19" t="str">
        <f>Copropriété!D4</f>
        <v>Générales</v>
      </c>
      <c r="D141" s="19" t="str">
        <f>Copropriété!E4</f>
        <v>Escalier</v>
      </c>
      <c r="E141" s="19" t="str">
        <f>Copropriété!F4</f>
        <v>Eau</v>
      </c>
      <c r="F141" s="19" t="str">
        <f>Copropriété!G4</f>
        <v>Charge1</v>
      </c>
      <c r="G141" s="19" t="str">
        <f>Copropriété!H4</f>
        <v>Charge2</v>
      </c>
      <c r="H141" s="19" t="str">
        <f>Copropriété!I4</f>
        <v>Travaux</v>
      </c>
      <c r="I141" s="19" t="str">
        <f>Copropriété!J4</f>
        <v>Provision</v>
      </c>
    </row>
    <row r="142" spans="1:10" ht="19.5" customHeight="1">
      <c r="A142" s="44" t="s">
        <v>391</v>
      </c>
      <c r="B142" s="323">
        <v>0</v>
      </c>
      <c r="C142" s="317"/>
      <c r="D142" s="318"/>
      <c r="E142" s="318"/>
      <c r="F142" s="318"/>
      <c r="G142" s="319"/>
      <c r="H142" s="319"/>
      <c r="I142" s="324">
        <v>0</v>
      </c>
      <c r="J142" s="321" t="s">
        <v>451</v>
      </c>
    </row>
    <row r="143" spans="1:10" ht="19.5" customHeight="1">
      <c r="A143" s="33" t="s">
        <v>369</v>
      </c>
      <c r="B143" s="166">
        <f aca="true" t="shared" si="12" ref="B143:B154">B142+(C143+D143+E143+F143+G143+H143+I143)+J143</f>
        <v>0</v>
      </c>
      <c r="C143" s="166">
        <f>'Livre de compte'!K17*Copropriété!D$36/Copropriété!D$40</f>
        <v>0</v>
      </c>
      <c r="D143" s="166">
        <f>'Livre de compte'!L17*Copropriété!E$36/Copropriété!E$40</f>
        <v>0</v>
      </c>
      <c r="E143" s="166">
        <f>'Livre de compte'!M17*Copropriété!F$36/Copropriété!F$40</f>
        <v>0</v>
      </c>
      <c r="F143" s="166">
        <f>'Livre de compte'!N17*Copropriété!G$36/Copropriété!G$40</f>
        <v>0</v>
      </c>
      <c r="G143" s="166">
        <f>'Livre de compte'!O17*Copropriété!H$36/Copropriété!H$40</f>
        <v>0</v>
      </c>
      <c r="H143" s="166">
        <f>'Livre de compte'!P17*Copropriété!I$36/Copropriété!I$40</f>
        <v>0</v>
      </c>
      <c r="I143" s="166">
        <f>'Livre de compte'!Q17*Copropriété!J$36/Copropriété!J$40</f>
        <v>0</v>
      </c>
      <c r="J143" s="166">
        <f>'Livre de compte'!X17</f>
        <v>0</v>
      </c>
    </row>
    <row r="144" spans="1:10" ht="19.5" customHeight="1">
      <c r="A144" s="33" t="s">
        <v>135</v>
      </c>
      <c r="B144" s="166">
        <f t="shared" si="12"/>
        <v>0</v>
      </c>
      <c r="C144" s="166">
        <f>'Livre de compte'!K30*Copropriété!D$36/Copropriété!D$40</f>
        <v>0</v>
      </c>
      <c r="D144" s="166">
        <f>'Livre de compte'!L30*Copropriété!E$36/Copropriété!E$40</f>
        <v>0</v>
      </c>
      <c r="E144" s="166">
        <f>'Livre de compte'!M30*Copropriété!F$36/Copropriété!F$40</f>
        <v>0</v>
      </c>
      <c r="F144" s="166">
        <f>'Livre de compte'!N30*Copropriété!G$36/Copropriété!G$40</f>
        <v>0</v>
      </c>
      <c r="G144" s="166">
        <f>'Livre de compte'!O30*Copropriété!H$36/Copropriété!H$40</f>
        <v>0</v>
      </c>
      <c r="H144" s="166">
        <f>'Livre de compte'!P30*Copropriété!I$36/Copropriété!I$40</f>
        <v>0</v>
      </c>
      <c r="I144" s="166">
        <f>'Livre de compte'!Q30*Copropriété!J$36/Copropriété!J$40</f>
        <v>0</v>
      </c>
      <c r="J144" s="166">
        <f>'Livre de compte'!X30</f>
        <v>0</v>
      </c>
    </row>
    <row r="145" spans="1:10" ht="19.5" customHeight="1">
      <c r="A145" s="33" t="s">
        <v>393</v>
      </c>
      <c r="B145" s="166">
        <f t="shared" si="12"/>
        <v>0</v>
      </c>
      <c r="C145" s="166">
        <f>'Livre de compte'!K43*Copropriété!D$36/Copropriété!D$40</f>
        <v>0</v>
      </c>
      <c r="D145" s="166">
        <f>'Livre de compte'!L43*Copropriété!E$36/Copropriété!E$40</f>
        <v>0</v>
      </c>
      <c r="E145" s="166">
        <f>'Livre de compte'!M43*Copropriété!F$36/Copropriété!F$40</f>
        <v>0</v>
      </c>
      <c r="F145" s="166">
        <f>'Livre de compte'!N43*Copropriété!G$36/Copropriété!G$40</f>
        <v>0</v>
      </c>
      <c r="G145" s="166">
        <f>'Livre de compte'!O43*Copropriété!H$36/Copropriété!H$40</f>
        <v>0</v>
      </c>
      <c r="H145" s="166">
        <f>'Livre de compte'!P43*Copropriété!I$36/Copropriété!I$40</f>
        <v>0</v>
      </c>
      <c r="I145" s="166">
        <f>'Livre de compte'!Q43*Copropriété!J$36/Copropriété!J$40</f>
        <v>0</v>
      </c>
      <c r="J145" s="166">
        <f>'Livre de compte'!X43</f>
        <v>0</v>
      </c>
    </row>
    <row r="146" spans="1:10" ht="19.5" customHeight="1">
      <c r="A146" s="33" t="s">
        <v>288</v>
      </c>
      <c r="B146" s="166">
        <f t="shared" si="12"/>
        <v>0</v>
      </c>
      <c r="C146" s="166">
        <f>'Livre de compte'!K60*Copropriété!D$36/Copropriété!D$40</f>
        <v>0</v>
      </c>
      <c r="D146" s="166">
        <f>'Livre de compte'!L60*Copropriété!E$36/Copropriété!E$40</f>
        <v>0</v>
      </c>
      <c r="E146" s="166">
        <f>'Livre de compte'!M60*Copropriété!F$36/Copropriété!F$40</f>
        <v>0</v>
      </c>
      <c r="F146" s="166">
        <f>'Livre de compte'!N60*Copropriété!G$36/Copropriété!G$40</f>
        <v>0</v>
      </c>
      <c r="G146" s="166">
        <f>'Livre de compte'!O60*Copropriété!H$36/Copropriété!H$40</f>
        <v>0</v>
      </c>
      <c r="H146" s="166">
        <f>'Livre de compte'!P60*Copropriété!I$36/Copropriété!I$40</f>
        <v>0</v>
      </c>
      <c r="I146" s="166">
        <f>'Livre de compte'!Q60*Copropriété!J$36/Copropriété!J$40</f>
        <v>0</v>
      </c>
      <c r="J146" s="166">
        <f>'Livre de compte'!X60</f>
        <v>0</v>
      </c>
    </row>
    <row r="147" spans="1:10" ht="19.5" customHeight="1">
      <c r="A147" s="33" t="s">
        <v>281</v>
      </c>
      <c r="B147" s="166">
        <f t="shared" si="12"/>
        <v>0</v>
      </c>
      <c r="C147" s="166">
        <f>'Livre de compte'!K73*Copropriété!D$36/Copropriété!D$40</f>
        <v>0</v>
      </c>
      <c r="D147" s="166">
        <f>'Livre de compte'!L73*Copropriété!E$36/Copropriété!E$40</f>
        <v>0</v>
      </c>
      <c r="E147" s="166">
        <f>'Livre de compte'!M73*Copropriété!F$36/Copropriété!F$40</f>
        <v>0</v>
      </c>
      <c r="F147" s="166">
        <f>'Livre de compte'!N73*Copropriété!G$36/Copropriété!G$40</f>
        <v>0</v>
      </c>
      <c r="G147" s="166">
        <f>'Livre de compte'!O73*Copropriété!H$36/Copropriété!H$40</f>
        <v>0</v>
      </c>
      <c r="H147" s="166">
        <f>'Livre de compte'!P73*Copropriété!I$36/Copropriété!I$40</f>
        <v>0</v>
      </c>
      <c r="I147" s="166">
        <f>'Livre de compte'!Q73*Copropriété!J$36/Copropriété!J$40</f>
        <v>0</v>
      </c>
      <c r="J147" s="166">
        <f>'Livre de compte'!X73</f>
        <v>0</v>
      </c>
    </row>
    <row r="148" spans="1:10" ht="19.5" customHeight="1">
      <c r="A148" s="33" t="s">
        <v>189</v>
      </c>
      <c r="B148" s="166">
        <f t="shared" si="12"/>
        <v>0</v>
      </c>
      <c r="C148" s="166">
        <f>'Livre de compte'!K86*Copropriété!D$36/Copropriété!D$40</f>
        <v>0</v>
      </c>
      <c r="D148" s="166">
        <f>'Livre de compte'!L86*Copropriété!E$36/Copropriété!E$40</f>
        <v>0</v>
      </c>
      <c r="E148" s="166">
        <f>'Livre de compte'!M86*Copropriété!F$36/Copropriété!F$40</f>
        <v>0</v>
      </c>
      <c r="F148" s="166">
        <f>'Livre de compte'!N86*Copropriété!G$36/Copropriété!G$40</f>
        <v>0</v>
      </c>
      <c r="G148" s="166">
        <f>'Livre de compte'!O86*Copropriété!H$36/Copropriété!H$40</f>
        <v>0</v>
      </c>
      <c r="H148" s="166">
        <f>'Livre de compte'!P86*Copropriété!I$36/Copropriété!I$40</f>
        <v>0</v>
      </c>
      <c r="I148" s="166">
        <f>'Livre de compte'!Q86*Copropriété!J$36/Copropriété!J$40</f>
        <v>0</v>
      </c>
      <c r="J148" s="166">
        <f>'Livre de compte'!X86</f>
        <v>0</v>
      </c>
    </row>
    <row r="149" spans="1:10" ht="19.5" customHeight="1">
      <c r="A149" s="33" t="s">
        <v>55</v>
      </c>
      <c r="B149" s="166">
        <f t="shared" si="12"/>
        <v>0</v>
      </c>
      <c r="C149" s="166">
        <f>'Livre de compte'!K103*Copropriété!D$36/Copropriété!D$40</f>
        <v>0</v>
      </c>
      <c r="D149" s="166">
        <f>'Livre de compte'!L103*Copropriété!E$36/Copropriété!E$40</f>
        <v>0</v>
      </c>
      <c r="E149" s="166">
        <f>'Livre de compte'!M103*Copropriété!F$36/Copropriété!F$40</f>
        <v>0</v>
      </c>
      <c r="F149" s="166">
        <f>'Livre de compte'!N103*Copropriété!G$36/Copropriété!G$40</f>
        <v>0</v>
      </c>
      <c r="G149" s="166">
        <f>'Livre de compte'!O103*Copropriété!H$36/Copropriété!H$40</f>
        <v>0</v>
      </c>
      <c r="H149" s="166">
        <f>'Livre de compte'!P103*Copropriété!I$36/Copropriété!I$40</f>
        <v>0</v>
      </c>
      <c r="I149" s="166">
        <f>'Livre de compte'!Q103*Copropriété!J$36/Copropriété!J$40</f>
        <v>0</v>
      </c>
      <c r="J149" s="166">
        <f>'Livre de compte'!X103</f>
        <v>0</v>
      </c>
    </row>
    <row r="150" spans="1:10" ht="19.5" customHeight="1">
      <c r="A150" s="33" t="s">
        <v>56</v>
      </c>
      <c r="B150" s="166">
        <f t="shared" si="12"/>
        <v>0</v>
      </c>
      <c r="C150" s="166">
        <f>'Livre de compte'!K116*Copropriété!D$36/Copropriété!D$40</f>
        <v>0</v>
      </c>
      <c r="D150" s="166">
        <f>'Livre de compte'!L116*Copropriété!E$36/Copropriété!E$40</f>
        <v>0</v>
      </c>
      <c r="E150" s="166">
        <f>'Livre de compte'!M116*Copropriété!F$36/Copropriété!F$40</f>
        <v>0</v>
      </c>
      <c r="F150" s="166">
        <f>'Livre de compte'!N116*Copropriété!G$36/Copropriété!G$40</f>
        <v>0</v>
      </c>
      <c r="G150" s="166">
        <f>'Livre de compte'!O116*Copropriété!H$36/Copropriété!H$40</f>
        <v>0</v>
      </c>
      <c r="H150" s="166">
        <f>'Livre de compte'!P116*Copropriété!I$36/Copropriété!I$40</f>
        <v>0</v>
      </c>
      <c r="I150" s="166">
        <f>'Livre de compte'!Q116*Copropriété!J$36/Copropriété!J$40</f>
        <v>0</v>
      </c>
      <c r="J150" s="166">
        <f>'Livre de compte'!X116</f>
        <v>0</v>
      </c>
    </row>
    <row r="151" spans="1:10" ht="19.5" customHeight="1">
      <c r="A151" s="33" t="s">
        <v>57</v>
      </c>
      <c r="B151" s="166">
        <f t="shared" si="12"/>
        <v>0</v>
      </c>
      <c r="C151" s="166">
        <f>'Livre de compte'!K129*Copropriété!D$36/Copropriété!D$40</f>
        <v>0</v>
      </c>
      <c r="D151" s="166">
        <f>'Livre de compte'!L129*Copropriété!E$36/Copropriété!E$40</f>
        <v>0</v>
      </c>
      <c r="E151" s="166">
        <f>'Livre de compte'!M129*Copropriété!F$36/Copropriété!F$40</f>
        <v>0</v>
      </c>
      <c r="F151" s="166">
        <f>'Livre de compte'!N129*Copropriété!G$36/Copropriété!G$40</f>
        <v>0</v>
      </c>
      <c r="G151" s="166">
        <f>'Livre de compte'!O129*Copropriété!H$36/Copropriété!H$40</f>
        <v>0</v>
      </c>
      <c r="H151" s="166">
        <f>'Livre de compte'!P129*Copropriété!I$36/Copropriété!I$40</f>
        <v>0</v>
      </c>
      <c r="I151" s="166">
        <f>'Livre de compte'!Q129*Copropriété!J$36/Copropriété!J$40</f>
        <v>0</v>
      </c>
      <c r="J151" s="166">
        <f>'Livre de compte'!X129</f>
        <v>0</v>
      </c>
    </row>
    <row r="152" spans="1:10" ht="19.5" customHeight="1">
      <c r="A152" s="33" t="s">
        <v>58</v>
      </c>
      <c r="B152" s="166">
        <f t="shared" si="12"/>
        <v>0</v>
      </c>
      <c r="C152" s="166">
        <f>'Livre de compte'!K146*Copropriété!D$36/Copropriété!D$40</f>
        <v>0</v>
      </c>
      <c r="D152" s="166">
        <f>'Livre de compte'!L146*Copropriété!E$36/Copropriété!E$40</f>
        <v>0</v>
      </c>
      <c r="E152" s="166">
        <f>'Livre de compte'!M146*Copropriété!F$36/Copropriété!F$40</f>
        <v>0</v>
      </c>
      <c r="F152" s="166">
        <f>'Livre de compte'!N146*Copropriété!G$36/Copropriété!G$40</f>
        <v>0</v>
      </c>
      <c r="G152" s="166">
        <f>'Livre de compte'!O146*Copropriété!H$36/Copropriété!H$40</f>
        <v>0</v>
      </c>
      <c r="H152" s="166">
        <f>'Livre de compte'!P146*Copropriété!I$36/Copropriété!I$40</f>
        <v>0</v>
      </c>
      <c r="I152" s="166">
        <f>'Livre de compte'!Q146*Copropriété!J$36/Copropriété!J$40</f>
        <v>0</v>
      </c>
      <c r="J152" s="166">
        <f>'Livre de compte'!X146</f>
        <v>0</v>
      </c>
    </row>
    <row r="153" spans="1:10" ht="19.5" customHeight="1">
      <c r="A153" s="33" t="s">
        <v>59</v>
      </c>
      <c r="B153" s="166">
        <f t="shared" si="12"/>
        <v>0</v>
      </c>
      <c r="C153" s="166">
        <f>'Livre de compte'!K159*Copropriété!D$36/Copropriété!D$40</f>
        <v>0</v>
      </c>
      <c r="D153" s="166">
        <f>'Livre de compte'!L159*Copropriété!E$36/Copropriété!E$40</f>
        <v>0</v>
      </c>
      <c r="E153" s="166">
        <f>'Livre de compte'!M159*Copropriété!F$36/Copropriété!F$40</f>
        <v>0</v>
      </c>
      <c r="F153" s="166">
        <f>'Livre de compte'!N159*Copropriété!G$36/Copropriété!G$40</f>
        <v>0</v>
      </c>
      <c r="G153" s="166">
        <f>'Livre de compte'!O159*Copropriété!H$36/Copropriété!H$40</f>
        <v>0</v>
      </c>
      <c r="H153" s="166">
        <f>'Livre de compte'!P159*Copropriété!I$36/Copropriété!I$40</f>
        <v>0</v>
      </c>
      <c r="I153" s="166">
        <f>'Livre de compte'!Q159*Copropriété!J$36/Copropriété!J$40</f>
        <v>0</v>
      </c>
      <c r="J153" s="166">
        <f>'Livre de compte'!X159</f>
        <v>0</v>
      </c>
    </row>
    <row r="154" spans="1:10" ht="19.5" customHeight="1">
      <c r="A154" s="33" t="s">
        <v>197</v>
      </c>
      <c r="B154" s="166">
        <f t="shared" si="12"/>
        <v>0</v>
      </c>
      <c r="C154" s="166">
        <f>'Livre de compte'!K172*Copropriété!D$36/Copropriété!D$40</f>
        <v>0</v>
      </c>
      <c r="D154" s="166">
        <f>'Livre de compte'!L172*Copropriété!E$36/Copropriété!E$40</f>
        <v>0</v>
      </c>
      <c r="E154" s="166">
        <f>'Livre de compte'!M172*Copropriété!F$36/Copropriété!F$40</f>
        <v>0</v>
      </c>
      <c r="F154" s="166">
        <f>'Livre de compte'!N172*Copropriété!G$36/Copropriété!G$40</f>
        <v>0</v>
      </c>
      <c r="G154" s="166">
        <f>'Livre de compte'!O172*Copropriété!H$36/Copropriété!H$40</f>
        <v>0</v>
      </c>
      <c r="H154" s="166">
        <f>'Livre de compte'!P172*Copropriété!I$36/Copropriété!I$40</f>
        <v>0</v>
      </c>
      <c r="I154" s="166">
        <f>'Livre de compte'!Q172*Copropriété!J$36/Copropriété!J$40</f>
        <v>0</v>
      </c>
      <c r="J154" s="166">
        <f>'Livre de compte'!X172</f>
        <v>0</v>
      </c>
    </row>
    <row r="155" spans="1:10" ht="19.5" customHeight="1">
      <c r="A155" s="33" t="s">
        <v>439</v>
      </c>
      <c r="B155" s="166">
        <f>B154</f>
        <v>0</v>
      </c>
      <c r="C155" s="166">
        <f aca="true" t="shared" si="13" ref="C155:J155">SUM(C143:C154)</f>
        <v>0</v>
      </c>
      <c r="D155" s="166">
        <f t="shared" si="13"/>
        <v>0</v>
      </c>
      <c r="E155" s="166">
        <f t="shared" si="13"/>
        <v>0</v>
      </c>
      <c r="F155" s="166">
        <f t="shared" si="13"/>
        <v>0</v>
      </c>
      <c r="G155" s="166">
        <f t="shared" si="13"/>
        <v>0</v>
      </c>
      <c r="H155" s="166">
        <f t="shared" si="13"/>
        <v>0</v>
      </c>
      <c r="I155" s="166">
        <f t="shared" si="13"/>
        <v>0</v>
      </c>
      <c r="J155" s="166">
        <f t="shared" si="13"/>
        <v>0</v>
      </c>
    </row>
    <row r="156" spans="1:9" ht="19.5" customHeight="1">
      <c r="A156" s="11"/>
      <c r="B156" s="11"/>
      <c r="C156" s="11"/>
      <c r="D156" s="11"/>
      <c r="E156" s="11"/>
      <c r="F156" s="11"/>
      <c r="G156" s="11"/>
      <c r="H156" s="11"/>
      <c r="I156" s="11"/>
    </row>
    <row r="157" ht="19.5" customHeight="1">
      <c r="A157" s="37" t="s">
        <v>474</v>
      </c>
    </row>
    <row r="158" spans="1:3" ht="19.5" customHeight="1">
      <c r="A158" s="10" t="s">
        <v>10</v>
      </c>
      <c r="C158" s="322">
        <f>C155+D155+E155+F155+G155+H155+I155</f>
        <v>0</v>
      </c>
    </row>
    <row r="159" spans="1:3" ht="19.5" customHeight="1">
      <c r="A159" s="10" t="s">
        <v>146</v>
      </c>
      <c r="C159" s="322">
        <f>J155</f>
        <v>0</v>
      </c>
    </row>
    <row r="160" spans="1:8" ht="19.5" customHeight="1">
      <c r="A160" s="10" t="s">
        <v>437</v>
      </c>
      <c r="C160" s="322">
        <f>B155</f>
        <v>0</v>
      </c>
      <c r="E160" s="10" t="s">
        <v>236</v>
      </c>
      <c r="F160" s="10"/>
      <c r="G160" s="322">
        <f>-(I155)+I142</f>
        <v>0</v>
      </c>
      <c r="H160" s="322"/>
    </row>
    <row r="162" spans="1:10" ht="19.5" customHeight="1">
      <c r="A162" s="9" t="s">
        <v>444</v>
      </c>
      <c r="B162" s="11"/>
      <c r="C162" s="11"/>
      <c r="D162" s="11"/>
      <c r="E162" s="11"/>
      <c r="F162" s="11"/>
      <c r="G162" s="11"/>
      <c r="H162" s="11"/>
      <c r="I162" s="11"/>
      <c r="J162" s="32" t="str">
        <f>J1</f>
        <v>Exercice 2015</v>
      </c>
    </row>
    <row r="163" spans="1:9" ht="19.5" customHeight="1">
      <c r="A163" s="11"/>
      <c r="B163" s="11"/>
      <c r="C163" s="11"/>
      <c r="D163" s="11"/>
      <c r="E163" s="11"/>
      <c r="F163" s="11"/>
      <c r="G163" s="11"/>
      <c r="H163" s="11"/>
      <c r="I163" s="11"/>
    </row>
    <row r="164" spans="1:9" ht="19.5" customHeight="1">
      <c r="A164" s="12"/>
      <c r="B164" s="19" t="s">
        <v>411</v>
      </c>
      <c r="C164" s="19" t="str">
        <f>Copropriété!D4</f>
        <v>Générales</v>
      </c>
      <c r="D164" s="19" t="str">
        <f>Copropriété!E4</f>
        <v>Escalier</v>
      </c>
      <c r="E164" s="19" t="str">
        <f>Copropriété!F4</f>
        <v>Eau</v>
      </c>
      <c r="F164" s="19" t="str">
        <f>Copropriété!G4</f>
        <v>Charge1</v>
      </c>
      <c r="G164" s="19" t="str">
        <f>Copropriété!H4</f>
        <v>Charge2</v>
      </c>
      <c r="H164" s="19" t="str">
        <f>Copropriété!I4</f>
        <v>Travaux</v>
      </c>
      <c r="I164" s="18" t="str">
        <f>Copropriété!J4</f>
        <v>Provision</v>
      </c>
    </row>
    <row r="165" spans="1:10" ht="19.5" customHeight="1">
      <c r="A165" s="44" t="s">
        <v>391</v>
      </c>
      <c r="B165" s="323">
        <v>0</v>
      </c>
      <c r="C165" s="317"/>
      <c r="D165" s="318"/>
      <c r="E165" s="318"/>
      <c r="F165" s="318"/>
      <c r="G165" s="319"/>
      <c r="H165" s="319"/>
      <c r="I165" s="324">
        <v>0</v>
      </c>
      <c r="J165" s="321" t="s">
        <v>451</v>
      </c>
    </row>
    <row r="166" spans="1:10" ht="19.5" customHeight="1">
      <c r="A166" s="33" t="s">
        <v>369</v>
      </c>
      <c r="B166" s="166">
        <f aca="true" t="shared" si="14" ref="B166:B177">B165+(C166+D166+E166+F166+G166+H166+I166)+J166</f>
        <v>0</v>
      </c>
      <c r="C166" s="166">
        <f>'Livre de compte'!K17*Copropriété!D63/Copropriété!D67</f>
        <v>0</v>
      </c>
      <c r="D166" s="166">
        <f>'Livre de compte'!L17*Copropriété!E63/Copropriété!E67</f>
        <v>0</v>
      </c>
      <c r="E166" s="166">
        <f>'Livre de compte'!M17*Copropriété!F63/Copropriété!F67</f>
        <v>0</v>
      </c>
      <c r="F166" s="166">
        <f>'Livre de compte'!N17*Copropriété!G63/Copropriété!G67</f>
        <v>0</v>
      </c>
      <c r="G166" s="166">
        <f>'Livre de compte'!O17*Copropriété!H63/Copropriété!H67</f>
        <v>0</v>
      </c>
      <c r="H166" s="166">
        <f>'Livre de compte'!P17*Copropriété!I63/Copropriété!I67</f>
        <v>0</v>
      </c>
      <c r="I166" s="166">
        <f>'Livre de compte'!Q17*Copropriété!J63/Copropriété!J67</f>
        <v>0</v>
      </c>
      <c r="J166" s="166">
        <f>'Livre de compte'!Y17</f>
        <v>0</v>
      </c>
    </row>
    <row r="167" spans="1:10" ht="19.5" customHeight="1">
      <c r="A167" s="33" t="s">
        <v>135</v>
      </c>
      <c r="B167" s="166">
        <f t="shared" si="14"/>
        <v>0</v>
      </c>
      <c r="C167" s="166">
        <f>'Livre de compte'!K30*Copropriété!D63/Copropriété!D67</f>
        <v>0</v>
      </c>
      <c r="D167" s="166">
        <f>'Livre de compte'!L30*Copropriété!E63/Copropriété!E67</f>
        <v>0</v>
      </c>
      <c r="E167" s="166">
        <f>'Livre de compte'!M30*Copropriété!F63/Copropriété!F67</f>
        <v>0</v>
      </c>
      <c r="F167" s="166">
        <f>'Livre de compte'!N30*Copropriété!G63/Copropriété!G67</f>
        <v>0</v>
      </c>
      <c r="G167" s="166">
        <f>'Livre de compte'!O30*Copropriété!H63/Copropriété!H67</f>
        <v>0</v>
      </c>
      <c r="H167" s="166">
        <f>'Livre de compte'!P30*Copropriété!I63/Copropriété!I67</f>
        <v>0</v>
      </c>
      <c r="I167" s="166">
        <f>'Livre de compte'!Q30*Copropriété!J63/Copropriété!J67</f>
        <v>0</v>
      </c>
      <c r="J167" s="166">
        <f>'Livre de compte'!Y30</f>
        <v>0</v>
      </c>
    </row>
    <row r="168" spans="1:10" ht="19.5" customHeight="1">
      <c r="A168" s="33" t="s">
        <v>393</v>
      </c>
      <c r="B168" s="166">
        <f t="shared" si="14"/>
        <v>0</v>
      </c>
      <c r="C168" s="166">
        <f>'Livre de compte'!K43*Copropriété!D63/Copropriété!D67</f>
        <v>0</v>
      </c>
      <c r="D168" s="166">
        <f>'Livre de compte'!L43*Copropriété!E63/Copropriété!E67</f>
        <v>0</v>
      </c>
      <c r="E168" s="166">
        <f>'Livre de compte'!M43*Copropriété!F63/Copropriété!F67</f>
        <v>0</v>
      </c>
      <c r="F168" s="166">
        <f>'Livre de compte'!N43*Copropriété!G63/Copropriété!G67</f>
        <v>0</v>
      </c>
      <c r="G168" s="166">
        <f>'Livre de compte'!O43*Copropriété!H63/Copropriété!H67</f>
        <v>0</v>
      </c>
      <c r="H168" s="166">
        <f>'Livre de compte'!P43*Copropriété!I63/Copropriété!I67</f>
        <v>0</v>
      </c>
      <c r="I168" s="166">
        <f>'Livre de compte'!Q43*Copropriété!J63/Copropriété!J67</f>
        <v>0</v>
      </c>
      <c r="J168" s="166">
        <f>'Livre de compte'!Y43</f>
        <v>0</v>
      </c>
    </row>
    <row r="169" spans="1:10" ht="19.5" customHeight="1">
      <c r="A169" s="33" t="s">
        <v>288</v>
      </c>
      <c r="B169" s="166">
        <f t="shared" si="14"/>
        <v>0</v>
      </c>
      <c r="C169" s="166">
        <f>'Livre de compte'!K60*Copropriété!D63/Copropriété!D67</f>
        <v>0</v>
      </c>
      <c r="D169" s="166">
        <f>'Livre de compte'!L60*Copropriété!E63/Copropriété!E67</f>
        <v>0</v>
      </c>
      <c r="E169" s="166">
        <f>'Livre de compte'!M60*Copropriété!F63/Copropriété!F67</f>
        <v>0</v>
      </c>
      <c r="F169" s="166">
        <f>'Livre de compte'!N60*Copropriété!G63/Copropriété!G67</f>
        <v>0</v>
      </c>
      <c r="G169" s="166">
        <f>'Livre de compte'!O60*Copropriété!H63/Copropriété!H67</f>
        <v>0</v>
      </c>
      <c r="H169" s="166">
        <f>'Livre de compte'!P60*Copropriété!I63/Copropriété!I67</f>
        <v>0</v>
      </c>
      <c r="I169" s="166">
        <f>'Livre de compte'!Q60*Copropriété!J63/Copropriété!J67</f>
        <v>0</v>
      </c>
      <c r="J169" s="166">
        <f>'Livre de compte'!Y60</f>
        <v>0</v>
      </c>
    </row>
    <row r="170" spans="1:10" ht="19.5" customHeight="1">
      <c r="A170" s="33" t="s">
        <v>281</v>
      </c>
      <c r="B170" s="166">
        <f t="shared" si="14"/>
        <v>0</v>
      </c>
      <c r="C170" s="166">
        <f>'Livre de compte'!K73*Copropriété!D63/Copropriété!D67</f>
        <v>0</v>
      </c>
      <c r="D170" s="166">
        <f>'Livre de compte'!L73*Copropriété!E63/Copropriété!E67</f>
        <v>0</v>
      </c>
      <c r="E170" s="166">
        <f>'Livre de compte'!M73*Copropriété!F63/Copropriété!F67</f>
        <v>0</v>
      </c>
      <c r="F170" s="166">
        <f>'Livre de compte'!N73*Copropriété!G63/Copropriété!G67</f>
        <v>0</v>
      </c>
      <c r="G170" s="166">
        <f>'Livre de compte'!O73*Copropriété!H63/Copropriété!H67</f>
        <v>0</v>
      </c>
      <c r="H170" s="166">
        <f>'Livre de compte'!P73*Copropriété!I63/Copropriété!I67</f>
        <v>0</v>
      </c>
      <c r="I170" s="166">
        <f>'Livre de compte'!Q73*Copropriété!J63/Copropriété!J67</f>
        <v>0</v>
      </c>
      <c r="J170" s="166">
        <f>'Livre de compte'!Y73</f>
        <v>0</v>
      </c>
    </row>
    <row r="171" spans="1:10" ht="19.5" customHeight="1">
      <c r="A171" s="33" t="s">
        <v>189</v>
      </c>
      <c r="B171" s="166">
        <f t="shared" si="14"/>
        <v>0</v>
      </c>
      <c r="C171" s="166">
        <f>'Livre de compte'!K86*Copropriété!D63/Copropriété!D67</f>
        <v>0</v>
      </c>
      <c r="D171" s="166">
        <f>'Livre de compte'!L86*Copropriété!E63/Copropriété!E67</f>
        <v>0</v>
      </c>
      <c r="E171" s="166">
        <f>'Livre de compte'!M86*Copropriété!F63/Copropriété!F67</f>
        <v>0</v>
      </c>
      <c r="F171" s="166">
        <f>'Livre de compte'!N86*Copropriété!G63/Copropriété!G67</f>
        <v>0</v>
      </c>
      <c r="G171" s="166">
        <f>'Livre de compte'!O86*Copropriété!H63/Copropriété!H67</f>
        <v>0</v>
      </c>
      <c r="H171" s="166">
        <f>'Livre de compte'!P86*Copropriété!I63/Copropriété!I67</f>
        <v>0</v>
      </c>
      <c r="I171" s="166">
        <f>'Livre de compte'!Q86*Copropriété!J63/Copropriété!J67</f>
        <v>0</v>
      </c>
      <c r="J171" s="166">
        <f>'Livre de compte'!Y86</f>
        <v>0</v>
      </c>
    </row>
    <row r="172" spans="1:10" ht="19.5" customHeight="1">
      <c r="A172" s="33" t="s">
        <v>55</v>
      </c>
      <c r="B172" s="166">
        <f t="shared" si="14"/>
        <v>0</v>
      </c>
      <c r="C172" s="166">
        <f>'Livre de compte'!K103*Copropriété!D63/Copropriété!D67</f>
        <v>0</v>
      </c>
      <c r="D172" s="166">
        <f>'Livre de compte'!L103*Copropriété!E63/Copropriété!E67</f>
        <v>0</v>
      </c>
      <c r="E172" s="166">
        <f>'Livre de compte'!M103*Copropriété!F63/Copropriété!F67</f>
        <v>0</v>
      </c>
      <c r="F172" s="166">
        <f>'Livre de compte'!N103*Copropriété!G63/Copropriété!G67</f>
        <v>0</v>
      </c>
      <c r="G172" s="166">
        <f>'Livre de compte'!O103*Copropriété!H63/Copropriété!H67</f>
        <v>0</v>
      </c>
      <c r="H172" s="166">
        <f>'Livre de compte'!P103*Copropriété!I63/Copropriété!I67</f>
        <v>0</v>
      </c>
      <c r="I172" s="166">
        <f>'Livre de compte'!Q103*Copropriété!J63/Copropriété!J67</f>
        <v>0</v>
      </c>
      <c r="J172" s="166">
        <f>'Livre de compte'!Y103</f>
        <v>0</v>
      </c>
    </row>
    <row r="173" spans="1:10" ht="19.5" customHeight="1">
      <c r="A173" s="33" t="s">
        <v>56</v>
      </c>
      <c r="B173" s="166">
        <f t="shared" si="14"/>
        <v>0</v>
      </c>
      <c r="C173" s="166">
        <f>'Livre de compte'!K116*Copropriété!D63/Copropriété!D67</f>
        <v>0</v>
      </c>
      <c r="D173" s="166">
        <f>'Livre de compte'!L116*Copropriété!E63/Copropriété!E67</f>
        <v>0</v>
      </c>
      <c r="E173" s="166">
        <f>'Livre de compte'!M116*Copropriété!F63/Copropriété!F67</f>
        <v>0</v>
      </c>
      <c r="F173" s="166">
        <f>'Livre de compte'!N116*Copropriété!G63/Copropriété!G67</f>
        <v>0</v>
      </c>
      <c r="G173" s="166">
        <f>'Livre de compte'!O116*Copropriété!H63/Copropriété!H67</f>
        <v>0</v>
      </c>
      <c r="H173" s="166">
        <f>'Livre de compte'!P116*Copropriété!I63/Copropriété!I67</f>
        <v>0</v>
      </c>
      <c r="I173" s="166">
        <f>'Livre de compte'!Q116*Copropriété!J63/Copropriété!J67</f>
        <v>0</v>
      </c>
      <c r="J173" s="166">
        <f>'Livre de compte'!Y116</f>
        <v>0</v>
      </c>
    </row>
    <row r="174" spans="1:10" ht="19.5" customHeight="1">
      <c r="A174" s="33" t="s">
        <v>57</v>
      </c>
      <c r="B174" s="166">
        <f t="shared" si="14"/>
        <v>0</v>
      </c>
      <c r="C174" s="166">
        <f>'Livre de compte'!K129*Copropriété!D63/Copropriété!D67</f>
        <v>0</v>
      </c>
      <c r="D174" s="166">
        <f>'Livre de compte'!L129*Copropriété!E63/Copropriété!E67</f>
        <v>0</v>
      </c>
      <c r="E174" s="166">
        <f>'Livre de compte'!M129*Copropriété!F63/Copropriété!F67</f>
        <v>0</v>
      </c>
      <c r="F174" s="166">
        <f>'Livre de compte'!N129*Copropriété!G63/Copropriété!G67</f>
        <v>0</v>
      </c>
      <c r="G174" s="166">
        <f>'Livre de compte'!O129*Copropriété!H63/Copropriété!H67</f>
        <v>0</v>
      </c>
      <c r="H174" s="166">
        <f>'Livre de compte'!P129*Copropriété!I63/Copropriété!I67</f>
        <v>0</v>
      </c>
      <c r="I174" s="166">
        <f>'Livre de compte'!Q129*Copropriété!J63/Copropriété!J67</f>
        <v>0</v>
      </c>
      <c r="J174" s="166">
        <f>'Livre de compte'!Y129</f>
        <v>0</v>
      </c>
    </row>
    <row r="175" spans="1:10" ht="19.5" customHeight="1">
      <c r="A175" s="33" t="s">
        <v>58</v>
      </c>
      <c r="B175" s="166">
        <f t="shared" si="14"/>
        <v>0</v>
      </c>
      <c r="C175" s="166">
        <f>'Livre de compte'!K146*Copropriété!D63/Copropriété!D67</f>
        <v>0</v>
      </c>
      <c r="D175" s="166">
        <f>'Livre de compte'!L146*Copropriété!E63/Copropriété!E67</f>
        <v>0</v>
      </c>
      <c r="E175" s="166">
        <f>'Livre de compte'!M146*Copropriété!F63/Copropriété!F67</f>
        <v>0</v>
      </c>
      <c r="F175" s="166">
        <f>'Livre de compte'!N146*Copropriété!G63/Copropriété!G67</f>
        <v>0</v>
      </c>
      <c r="G175" s="166">
        <f>'Livre de compte'!O146*Copropriété!H63/Copropriété!H67</f>
        <v>0</v>
      </c>
      <c r="H175" s="166">
        <f>'Livre de compte'!P146*Copropriété!I63/Copropriété!I67</f>
        <v>0</v>
      </c>
      <c r="I175" s="166">
        <f>'Livre de compte'!Q146*Copropriété!J63/Copropriété!J67</f>
        <v>0</v>
      </c>
      <c r="J175" s="166">
        <f>'Livre de compte'!Y146</f>
        <v>0</v>
      </c>
    </row>
    <row r="176" spans="1:10" ht="19.5" customHeight="1">
      <c r="A176" s="33" t="s">
        <v>59</v>
      </c>
      <c r="B176" s="166">
        <f t="shared" si="14"/>
        <v>0</v>
      </c>
      <c r="C176" s="166">
        <f>'Livre de compte'!K159*Copropriété!D63/Copropriété!D67</f>
        <v>0</v>
      </c>
      <c r="D176" s="166">
        <f>'Livre de compte'!L159*Copropriété!E63/Copropriété!E67</f>
        <v>0</v>
      </c>
      <c r="E176" s="166">
        <f>'Livre de compte'!M159*Copropriété!F63/Copropriété!F67</f>
        <v>0</v>
      </c>
      <c r="F176" s="166">
        <f>'Livre de compte'!N159*Copropriété!G63/Copropriété!G67</f>
        <v>0</v>
      </c>
      <c r="G176" s="166">
        <f>'Livre de compte'!O159*Copropriété!H63/Copropriété!H67</f>
        <v>0</v>
      </c>
      <c r="H176" s="166">
        <f>'Livre de compte'!P159*Copropriété!I63/Copropriété!I67</f>
        <v>0</v>
      </c>
      <c r="I176" s="166">
        <f>'Livre de compte'!Q159*Copropriété!J63/Copropriété!J67</f>
        <v>0</v>
      </c>
      <c r="J176" s="166">
        <f>'Livre de compte'!Y159</f>
        <v>0</v>
      </c>
    </row>
    <row r="177" spans="1:10" ht="19.5" customHeight="1">
      <c r="A177" s="33" t="s">
        <v>197</v>
      </c>
      <c r="B177" s="166">
        <f t="shared" si="14"/>
        <v>0</v>
      </c>
      <c r="C177" s="166">
        <f>'Livre de compte'!K172*Copropriété!D63/Copropriété!D67</f>
        <v>0</v>
      </c>
      <c r="D177" s="166">
        <f>'Livre de compte'!L172*Copropriété!E63/Copropriété!E67</f>
        <v>0</v>
      </c>
      <c r="E177" s="166">
        <f>'Livre de compte'!M172*Copropriété!F63/Copropriété!F67</f>
        <v>0</v>
      </c>
      <c r="F177" s="166">
        <f>'Livre de compte'!N172*Copropriété!G63/Copropriété!G67</f>
        <v>0</v>
      </c>
      <c r="G177" s="166">
        <f>'Livre de compte'!O172*Copropriété!H63/Copropriété!H67</f>
        <v>0</v>
      </c>
      <c r="H177" s="166">
        <f>'Livre de compte'!P172*Copropriété!I63/Copropriété!I67</f>
        <v>0</v>
      </c>
      <c r="I177" s="166">
        <f>'Livre de compte'!Q172*Copropriété!J63/Copropriété!J67</f>
        <v>0</v>
      </c>
      <c r="J177" s="166">
        <f>'Livre de compte'!Y172</f>
        <v>0</v>
      </c>
    </row>
    <row r="178" spans="1:10" ht="19.5" customHeight="1">
      <c r="A178" s="33" t="s">
        <v>439</v>
      </c>
      <c r="B178" s="166">
        <f>B177</f>
        <v>0</v>
      </c>
      <c r="C178" s="166">
        <f aca="true" t="shared" si="15" ref="C178:J178">SUM(C166:C177)</f>
        <v>0</v>
      </c>
      <c r="D178" s="166">
        <f t="shared" si="15"/>
        <v>0</v>
      </c>
      <c r="E178" s="166">
        <f t="shared" si="15"/>
        <v>0</v>
      </c>
      <c r="F178" s="166">
        <f t="shared" si="15"/>
        <v>0</v>
      </c>
      <c r="G178" s="166">
        <f t="shared" si="15"/>
        <v>0</v>
      </c>
      <c r="H178" s="166">
        <f t="shared" si="15"/>
        <v>0</v>
      </c>
      <c r="I178" s="166">
        <f t="shared" si="15"/>
        <v>0</v>
      </c>
      <c r="J178" s="166">
        <f t="shared" si="15"/>
        <v>0</v>
      </c>
    </row>
    <row r="179" spans="1:9" ht="19.5" customHeight="1">
      <c r="A179" s="11"/>
      <c r="B179" s="11"/>
      <c r="C179" s="11"/>
      <c r="D179" s="11"/>
      <c r="E179" s="11"/>
      <c r="F179" s="11"/>
      <c r="G179" s="11"/>
      <c r="H179" s="11"/>
      <c r="I179" s="11"/>
    </row>
    <row r="180" ht="19.5" customHeight="1">
      <c r="A180" s="37" t="s">
        <v>171</v>
      </c>
    </row>
    <row r="181" spans="1:3" ht="19.5" customHeight="1">
      <c r="A181" s="10" t="s">
        <v>10</v>
      </c>
      <c r="C181" s="322">
        <f>C178+D178+E178+F178+G178+H178+I178</f>
        <v>0</v>
      </c>
    </row>
    <row r="182" spans="1:3" ht="19.5" customHeight="1">
      <c r="A182" s="10" t="s">
        <v>146</v>
      </c>
      <c r="C182" s="322">
        <f>J178</f>
        <v>0</v>
      </c>
    </row>
    <row r="183" spans="1:8" ht="19.5" customHeight="1">
      <c r="A183" s="10" t="s">
        <v>437</v>
      </c>
      <c r="C183" s="322">
        <f>B178</f>
        <v>0</v>
      </c>
      <c r="E183" s="10" t="s">
        <v>236</v>
      </c>
      <c r="F183" s="10"/>
      <c r="G183" s="322">
        <f>-(I178)+I165</f>
        <v>0</v>
      </c>
      <c r="H183" s="322"/>
    </row>
  </sheetData>
  <sheetProtection/>
  <printOptions/>
  <pageMargins left="0.35433070866141736" right="0.2755905511811024" top="0.7874015748031497" bottom="0.984251968503937" header="0.5118110236220472" footer="0.5118110236220472"/>
  <pageSetup blackAndWhite="1" orientation="landscape" paperSize="9" r:id="rId3"/>
  <headerFooter alignWithMargins="0">
    <oddFooter>&amp;R&amp;D</oddFooter>
  </headerFooter>
  <legacyDrawing r:id="rId2"/>
</worksheet>
</file>

<file path=xl/worksheets/sheet5.xml><?xml version="1.0" encoding="utf-8"?>
<worksheet xmlns="http://schemas.openxmlformats.org/spreadsheetml/2006/main" xmlns:r="http://schemas.openxmlformats.org/officeDocument/2006/relationships">
  <sheetPr>
    <tabColor rgb="FF7030A0"/>
  </sheetPr>
  <dimension ref="A1:AX45"/>
  <sheetViews>
    <sheetView showGridLines="0" zoomScalePageLayoutView="0" workbookViewId="0" topLeftCell="A1">
      <selection activeCell="B13" sqref="B13"/>
    </sheetView>
  </sheetViews>
  <sheetFormatPr defaultColWidth="10.8515625" defaultRowHeight="12.75"/>
  <cols>
    <col min="1" max="4" width="10.8515625" style="11" customWidth="1"/>
    <col min="5" max="7" width="12.7109375" style="11" customWidth="1"/>
    <col min="8" max="8" width="10.8515625" style="11" customWidth="1"/>
    <col min="9" max="9" width="18.140625" style="11" customWidth="1"/>
    <col min="10" max="16384" width="10.8515625" style="11" customWidth="1"/>
  </cols>
  <sheetData>
    <row r="1" spans="1:50" ht="46.5">
      <c r="A1" s="172" t="s">
        <v>102</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row>
    <row r="2" spans="1:50" ht="39.75" customHeight="1">
      <c r="A2" s="171" t="s">
        <v>491</v>
      </c>
      <c r="D2" s="170"/>
      <c r="E2" s="173"/>
      <c r="I2"/>
      <c r="J2"/>
      <c r="K2"/>
      <c r="L2"/>
      <c r="M2"/>
      <c r="N2"/>
      <c r="O2"/>
      <c r="P2"/>
      <c r="Q2"/>
      <c r="R2"/>
      <c r="S2"/>
      <c r="T2"/>
      <c r="U2"/>
      <c r="V2"/>
      <c r="W2"/>
      <c r="X2"/>
      <c r="Y2"/>
      <c r="Z2"/>
      <c r="AA2"/>
      <c r="AB2"/>
      <c r="AC2"/>
      <c r="AD2"/>
      <c r="AE2"/>
      <c r="AF2"/>
      <c r="AG2"/>
      <c r="AH2"/>
      <c r="AI2"/>
      <c r="AJ2"/>
      <c r="AK2"/>
      <c r="AL2"/>
      <c r="AM2"/>
      <c r="AN2"/>
      <c r="AO2"/>
      <c r="AP2"/>
      <c r="AQ2"/>
      <c r="AR2"/>
      <c r="AS2"/>
      <c r="AT2"/>
      <c r="AU2"/>
      <c r="AV2"/>
      <c r="AW2"/>
      <c r="AX2"/>
    </row>
    <row r="3" spans="9:50" ht="15">
      <c r="I3" s="17" t="s">
        <v>336</v>
      </c>
      <c r="J3" s="87" t="s">
        <v>52</v>
      </c>
      <c r="K3" s="14" t="s">
        <v>408</v>
      </c>
      <c r="L3" s="87" t="s">
        <v>53</v>
      </c>
      <c r="M3" s="14" t="s">
        <v>300</v>
      </c>
      <c r="N3" s="87" t="s">
        <v>209</v>
      </c>
      <c r="O3" s="87" t="s">
        <v>469</v>
      </c>
      <c r="P3" s="87" t="s">
        <v>470</v>
      </c>
      <c r="Q3" s="16" t="s">
        <v>43</v>
      </c>
      <c r="R3"/>
      <c r="S3"/>
      <c r="T3"/>
      <c r="U3"/>
      <c r="V3"/>
      <c r="W3"/>
      <c r="X3"/>
      <c r="Y3"/>
      <c r="Z3"/>
      <c r="AA3"/>
      <c r="AB3"/>
      <c r="AC3"/>
      <c r="AD3"/>
      <c r="AE3"/>
      <c r="AF3"/>
      <c r="AG3"/>
      <c r="AH3"/>
      <c r="AI3"/>
      <c r="AJ3"/>
      <c r="AK3"/>
      <c r="AL3"/>
      <c r="AM3"/>
      <c r="AN3"/>
      <c r="AO3"/>
      <c r="AP3"/>
      <c r="AQ3"/>
      <c r="AR3"/>
      <c r="AS3"/>
      <c r="AT3"/>
      <c r="AU3"/>
      <c r="AV3"/>
      <c r="AW3"/>
      <c r="AX3"/>
    </row>
    <row r="4" spans="9:50" ht="15">
      <c r="I4" s="24" t="s">
        <v>292</v>
      </c>
      <c r="J4" s="222"/>
      <c r="K4" s="222"/>
      <c r="L4" s="222"/>
      <c r="M4" s="222"/>
      <c r="N4" s="222"/>
      <c r="O4" s="222"/>
      <c r="P4" s="222"/>
      <c r="Q4" s="307"/>
      <c r="R4"/>
      <c r="S4"/>
      <c r="T4"/>
      <c r="U4"/>
      <c r="V4"/>
      <c r="W4"/>
      <c r="X4"/>
      <c r="Y4"/>
      <c r="Z4"/>
      <c r="AA4"/>
      <c r="AB4"/>
      <c r="AC4"/>
      <c r="AD4"/>
      <c r="AE4"/>
      <c r="AF4"/>
      <c r="AG4"/>
      <c r="AH4"/>
      <c r="AI4"/>
      <c r="AJ4"/>
      <c r="AK4"/>
      <c r="AL4"/>
      <c r="AM4"/>
      <c r="AN4"/>
      <c r="AO4"/>
      <c r="AP4"/>
      <c r="AQ4"/>
      <c r="AR4"/>
      <c r="AS4"/>
      <c r="AT4"/>
      <c r="AU4"/>
      <c r="AV4"/>
      <c r="AW4"/>
      <c r="AX4"/>
    </row>
    <row r="5" spans="1:50" ht="15">
      <c r="A5" s="350" t="s">
        <v>492</v>
      </c>
      <c r="C5" s="483">
        <f ca="1">TODAY()</f>
        <v>42394</v>
      </c>
      <c r="D5" s="484"/>
      <c r="I5" s="28" t="s">
        <v>335</v>
      </c>
      <c r="J5" s="308"/>
      <c r="K5" s="309"/>
      <c r="L5" s="308"/>
      <c r="M5" s="309"/>
      <c r="N5" s="311"/>
      <c r="O5" s="364"/>
      <c r="P5" s="364"/>
      <c r="Q5" s="310"/>
      <c r="R5"/>
      <c r="S5"/>
      <c r="T5"/>
      <c r="U5"/>
      <c r="V5"/>
      <c r="W5"/>
      <c r="X5"/>
      <c r="Y5"/>
      <c r="Z5"/>
      <c r="AA5"/>
      <c r="AB5"/>
      <c r="AC5"/>
      <c r="AD5"/>
      <c r="AE5"/>
      <c r="AF5"/>
      <c r="AG5"/>
      <c r="AH5"/>
      <c r="AI5"/>
      <c r="AJ5"/>
      <c r="AK5"/>
      <c r="AL5"/>
      <c r="AM5"/>
      <c r="AN5"/>
      <c r="AO5"/>
      <c r="AP5"/>
      <c r="AQ5"/>
      <c r="AR5"/>
      <c r="AS5"/>
      <c r="AT5"/>
      <c r="AU5"/>
      <c r="AV5"/>
      <c r="AW5"/>
      <c r="AX5"/>
    </row>
    <row r="6" spans="9:50" ht="15">
      <c r="I6" s="24" t="s">
        <v>292</v>
      </c>
      <c r="J6" s="222"/>
      <c r="K6" s="222"/>
      <c r="L6" s="222"/>
      <c r="M6" s="222"/>
      <c r="N6" s="222"/>
      <c r="O6" s="222"/>
      <c r="P6" s="222"/>
      <c r="Q6" s="307"/>
      <c r="R6"/>
      <c r="S6"/>
      <c r="T6"/>
      <c r="U6"/>
      <c r="V6"/>
      <c r="W6"/>
      <c r="X6"/>
      <c r="Y6"/>
      <c r="Z6"/>
      <c r="AA6"/>
      <c r="AB6"/>
      <c r="AC6"/>
      <c r="AD6"/>
      <c r="AE6"/>
      <c r="AF6"/>
      <c r="AG6"/>
      <c r="AH6"/>
      <c r="AI6"/>
      <c r="AJ6"/>
      <c r="AK6"/>
      <c r="AL6"/>
      <c r="AM6"/>
      <c r="AN6"/>
      <c r="AO6"/>
      <c r="AP6"/>
      <c r="AQ6"/>
      <c r="AR6"/>
      <c r="AS6"/>
      <c r="AT6"/>
      <c r="AU6"/>
      <c r="AV6"/>
      <c r="AW6"/>
      <c r="AX6"/>
    </row>
    <row r="7" spans="9:50" ht="15">
      <c r="I7" s="28" t="s">
        <v>125</v>
      </c>
      <c r="J7" s="308"/>
      <c r="K7" s="309"/>
      <c r="L7" s="308"/>
      <c r="M7" s="309"/>
      <c r="N7" s="311"/>
      <c r="O7" s="364"/>
      <c r="P7" s="364"/>
      <c r="Q7" s="310"/>
      <c r="R7"/>
      <c r="S7"/>
      <c r="T7"/>
      <c r="U7"/>
      <c r="V7"/>
      <c r="W7"/>
      <c r="X7"/>
      <c r="Y7"/>
      <c r="Z7"/>
      <c r="AA7"/>
      <c r="AB7"/>
      <c r="AC7"/>
      <c r="AD7"/>
      <c r="AE7"/>
      <c r="AF7"/>
      <c r="AG7"/>
      <c r="AH7"/>
      <c r="AI7"/>
      <c r="AJ7"/>
      <c r="AK7"/>
      <c r="AL7"/>
      <c r="AM7"/>
      <c r="AN7"/>
      <c r="AO7"/>
      <c r="AP7"/>
      <c r="AQ7"/>
      <c r="AR7"/>
      <c r="AS7"/>
      <c r="AT7"/>
      <c r="AU7"/>
      <c r="AV7"/>
      <c r="AW7"/>
      <c r="AX7"/>
    </row>
    <row r="8" spans="6:50" ht="15.75">
      <c r="F8" s="10" t="str">
        <f>VLOOKUP('Appels de Fonds'!B13,'Feuille de Calcule'!A39:AP46,3,FALSE)</f>
        <v>DORMEUR</v>
      </c>
      <c r="I8" s="24" t="s">
        <v>292</v>
      </c>
      <c r="J8" s="222"/>
      <c r="K8" s="222"/>
      <c r="L8" s="222"/>
      <c r="M8" s="222"/>
      <c r="N8" s="222"/>
      <c r="O8" s="222"/>
      <c r="P8" s="222"/>
      <c r="Q8" s="307"/>
      <c r="R8"/>
      <c r="S8"/>
      <c r="T8"/>
      <c r="U8"/>
      <c r="V8"/>
      <c r="W8"/>
      <c r="X8"/>
      <c r="Y8"/>
      <c r="Z8"/>
      <c r="AA8"/>
      <c r="AB8"/>
      <c r="AC8"/>
      <c r="AD8"/>
      <c r="AE8"/>
      <c r="AF8"/>
      <c r="AG8"/>
      <c r="AH8"/>
      <c r="AI8"/>
      <c r="AJ8"/>
      <c r="AK8"/>
      <c r="AL8"/>
      <c r="AM8"/>
      <c r="AN8"/>
      <c r="AO8"/>
      <c r="AP8"/>
      <c r="AQ8"/>
      <c r="AR8"/>
      <c r="AS8"/>
      <c r="AT8"/>
      <c r="AU8"/>
      <c r="AV8"/>
      <c r="AW8"/>
      <c r="AX8"/>
    </row>
    <row r="9" spans="6:50" ht="15.75">
      <c r="F9" s="10">
        <f>VLOOKUP('Appels de Fonds'!B13,'Feuille de Calcule'!A39:AP46,4,FALSE)</f>
        <v>0</v>
      </c>
      <c r="I9" s="28" t="s">
        <v>126</v>
      </c>
      <c r="J9" s="308"/>
      <c r="K9" s="331"/>
      <c r="L9" s="308"/>
      <c r="M9" s="309"/>
      <c r="N9" s="308"/>
      <c r="O9" s="310"/>
      <c r="P9" s="310"/>
      <c r="Q9" s="310"/>
      <c r="R9"/>
      <c r="S9"/>
      <c r="T9"/>
      <c r="U9"/>
      <c r="V9"/>
      <c r="W9"/>
      <c r="X9"/>
      <c r="Y9"/>
      <c r="Z9"/>
      <c r="AA9"/>
      <c r="AB9"/>
      <c r="AC9"/>
      <c r="AD9"/>
      <c r="AE9"/>
      <c r="AF9"/>
      <c r="AG9"/>
      <c r="AH9"/>
      <c r="AI9"/>
      <c r="AJ9"/>
      <c r="AK9"/>
      <c r="AL9"/>
      <c r="AM9"/>
      <c r="AN9"/>
      <c r="AO9"/>
      <c r="AP9"/>
      <c r="AQ9"/>
      <c r="AR9"/>
      <c r="AS9"/>
      <c r="AT9"/>
      <c r="AU9"/>
      <c r="AV9"/>
      <c r="AW9"/>
      <c r="AX9"/>
    </row>
    <row r="10" spans="6:50" ht="15.75">
      <c r="F10" s="10">
        <f>VLOOKUP('Appels de Fonds'!B13,'Feuille de Calcule'!A39:AP46,5,FALSE)</f>
        <v>0</v>
      </c>
      <c r="I10" s="24" t="s">
        <v>292</v>
      </c>
      <c r="J10" s="222"/>
      <c r="K10" s="223"/>
      <c r="L10" s="222"/>
      <c r="M10" s="223"/>
      <c r="N10" s="222"/>
      <c r="O10" s="307"/>
      <c r="P10" s="307"/>
      <c r="Q10" s="307"/>
      <c r="R10"/>
      <c r="S10"/>
      <c r="T10"/>
      <c r="U10"/>
      <c r="V10"/>
      <c r="W10"/>
      <c r="X10"/>
      <c r="Y10"/>
      <c r="Z10"/>
      <c r="AA10"/>
      <c r="AB10"/>
      <c r="AC10"/>
      <c r="AD10"/>
      <c r="AE10"/>
      <c r="AF10"/>
      <c r="AG10"/>
      <c r="AH10"/>
      <c r="AI10"/>
      <c r="AJ10"/>
      <c r="AK10"/>
      <c r="AL10"/>
      <c r="AM10"/>
      <c r="AN10"/>
      <c r="AO10"/>
      <c r="AP10"/>
      <c r="AQ10"/>
      <c r="AR10"/>
      <c r="AS10"/>
      <c r="AT10"/>
      <c r="AU10"/>
      <c r="AV10"/>
      <c r="AW10"/>
      <c r="AX10"/>
    </row>
    <row r="11" spans="9:50" ht="15">
      <c r="I11" s="26" t="s">
        <v>127</v>
      </c>
      <c r="J11" s="308"/>
      <c r="K11" s="309"/>
      <c r="L11" s="308"/>
      <c r="M11" s="309"/>
      <c r="N11" s="308"/>
      <c r="O11" s="310"/>
      <c r="P11" s="310"/>
      <c r="Q11" s="310"/>
      <c r="R11"/>
      <c r="S11"/>
      <c r="T11"/>
      <c r="U11"/>
      <c r="V11"/>
      <c r="W11"/>
      <c r="X11"/>
      <c r="Y11"/>
      <c r="Z11"/>
      <c r="AA11"/>
      <c r="AB11"/>
      <c r="AC11"/>
      <c r="AD11"/>
      <c r="AE11"/>
      <c r="AF11"/>
      <c r="AG11"/>
      <c r="AH11"/>
      <c r="AI11"/>
      <c r="AJ11"/>
      <c r="AK11"/>
      <c r="AL11"/>
      <c r="AM11"/>
      <c r="AN11"/>
      <c r="AO11"/>
      <c r="AP11"/>
      <c r="AQ11"/>
      <c r="AR11"/>
      <c r="AS11"/>
      <c r="AT11"/>
      <c r="AU11"/>
      <c r="AV11"/>
      <c r="AW11"/>
      <c r="AX11"/>
    </row>
    <row r="12" spans="1:50" ht="15">
      <c r="A12" s="212" t="s">
        <v>259</v>
      </c>
      <c r="B12" s="213">
        <f>Copropriété!B2</f>
        <v>2015</v>
      </c>
      <c r="C12" s="11" t="s">
        <v>414</v>
      </c>
      <c r="D12" s="485" t="s">
        <v>88</v>
      </c>
      <c r="E12" s="486"/>
      <c r="I12" s="221" t="s">
        <v>357</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2:50" ht="15">
      <c r="B13" s="219" t="s">
        <v>209</v>
      </c>
      <c r="C13" s="11" t="str">
        <f>VLOOKUP('Appels de Fonds'!B13,'Feuille de Calcule'!A39:AP46,2,FALSE)</f>
        <v>Etage : Appartement</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9:50" ht="1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ht="15">
      <c r="A15" s="11" t="s">
        <v>428</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9:50" ht="1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ht="15.75">
      <c r="A17" s="11" t="str">
        <f>CONCATENATE("Conformément au budget prévisionnel voté au titre de l'",Copropriété!A2,", le montant des charges")</f>
        <v>Conformément au budget prévisionnel voté au titre de l'Exercice 2015, le montant des charges</v>
      </c>
      <c r="B17" s="10"/>
      <c r="C17" s="6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ht="15">
      <c r="A18" s="11" t="str">
        <f>CONCATENATE("incombant au ",B13," pour le ",D12,", s'éléve à :")</f>
        <v>incombant au Lot n°5 pour le 1er Semestre, s'éléve à :</v>
      </c>
      <c r="G18" s="245">
        <f>VLOOKUP('Appels de Fonds'!A18,'Feuille de Calcule'!AK51:AP100,6,FALSE)</f>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7:50" ht="15">
      <c r="G19" s="22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2:50" ht="15">
      <c r="B20" s="11" t="s">
        <v>33</v>
      </c>
      <c r="G20" s="246">
        <f>VLOOKUP('Appels de Fonds'!D12,'Feuille de Calcule'!AR51:AT56,3,FALSE)</f>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7:50" ht="15">
      <c r="G21" s="244"/>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2:50" ht="15">
      <c r="B22" s="11" t="s">
        <v>19</v>
      </c>
      <c r="G22" s="245">
        <f>IF(G42&lt;=0,G42,0)</f>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7:50" ht="15">
      <c r="G23" s="312" t="s">
        <v>167</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ht="15" customHeight="1">
      <c r="A24" s="215"/>
      <c r="B24" s="11" t="s">
        <v>384</v>
      </c>
      <c r="G24" s="246" t="str">
        <f>IF(G18-G22-G20&lt;=0,"0",G18-G20-G22)</f>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ht="15">
      <c r="A25" s="2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0" customFormat="1" ht="15.75">
      <c r="A26" s="215" t="s">
        <v>251</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ht="15">
      <c r="A27" s="11" t="str">
        <f>CONCATENATE("de la somme de ",FIXED(G24,2)," €uros, par chèque à reception, à l'ordre du Syndic.")</f>
        <v>de la somme de 0,00 €uros, par chèque à reception, à l'ordre du Syndic.</v>
      </c>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2:50" ht="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ht="15">
      <c r="A29" s="11" t="s">
        <v>317</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2:50" ht="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ht="15">
      <c r="A31" s="11" t="s">
        <v>96</v>
      </c>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9:50" ht="15">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10" customFormat="1" ht="15.75">
      <c r="A33" s="77" t="str">
        <f>VLOOKUP('Appels de Fonds'!B13,'Feuille de Calcule'!A39:AP46,1,FALSE)</f>
        <v>Lot n°5</v>
      </c>
      <c r="B33" s="77" t="str">
        <f>VLOOKUP('Appels de Fonds'!B13,'Feuille de Calcule'!A39:AP46,2,FALSE)</f>
        <v>Etage : Appartement</v>
      </c>
      <c r="C33" s="11"/>
      <c r="D33" s="11"/>
      <c r="E33" s="11"/>
      <c r="F33" s="11"/>
      <c r="G33" s="11"/>
      <c r="H33" s="11"/>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ht="15.75">
      <c r="A34" s="247" t="s">
        <v>237</v>
      </c>
      <c r="B34" s="248"/>
      <c r="C34" s="248"/>
      <c r="D34" s="249"/>
      <c r="E34" s="300" t="s">
        <v>449</v>
      </c>
      <c r="F34" s="300" t="s">
        <v>177</v>
      </c>
      <c r="G34" s="274" t="s">
        <v>439</v>
      </c>
      <c r="H34" s="251"/>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15">
      <c r="A35" s="252" t="s">
        <v>318</v>
      </c>
      <c r="B35" s="253"/>
      <c r="C35" s="253"/>
      <c r="D35" s="254"/>
      <c r="E35" s="255" t="str">
        <f>VLOOKUP('Appels de Fonds'!B13,'Feuille de Calcule'!A39:AP46,38,FALSE)</f>
        <v>0</v>
      </c>
      <c r="F35" s="256">
        <f>VLOOKUP('Appels de Fonds'!B13,'Feuille de Calcule'!A39:AP46,32,FALSE)</f>
        <v>0</v>
      </c>
      <c r="G35" s="255">
        <f>IF(E35="","",F35-E35)</f>
        <v>0</v>
      </c>
      <c r="H35" s="251"/>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ht="15">
      <c r="A36" s="257" t="s">
        <v>198</v>
      </c>
      <c r="B36" s="258"/>
      <c r="C36" s="258"/>
      <c r="D36" s="259"/>
      <c r="E36" s="260" t="str">
        <f>VLOOKUP('Appels de Fonds'!B13,'Feuille de Calcule'!A39:AP46,39,FALSE)</f>
        <v>0</v>
      </c>
      <c r="F36" s="261">
        <f>VLOOKUP('Appels de Fonds'!B13,'Feuille de Calcule'!A39:AP46,33,FALSE)</f>
        <v>0</v>
      </c>
      <c r="G36" s="260">
        <f>IF(E36="","",F36-E36)</f>
        <v>0</v>
      </c>
      <c r="H36" s="251"/>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ht="15">
      <c r="A37" s="257" t="s">
        <v>172</v>
      </c>
      <c r="B37" s="258"/>
      <c r="C37" s="258"/>
      <c r="D37" s="259"/>
      <c r="E37" s="260" t="str">
        <f>VLOOKUP('Appels de Fonds'!B13,'Feuille de Calcule'!A39:AP46,41,FALSE)</f>
        <v>0</v>
      </c>
      <c r="F37" s="261">
        <f>VLOOKUP('Appels de Fonds'!B13,'Feuille de Calcule'!A39:AP46,35,FALSE)</f>
        <v>0</v>
      </c>
      <c r="G37" s="260">
        <f>IF(E37="","",F37-E37)</f>
        <v>0</v>
      </c>
      <c r="H37" s="251"/>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15">
      <c r="A38" s="262" t="s">
        <v>101</v>
      </c>
      <c r="B38" s="263"/>
      <c r="C38" s="263"/>
      <c r="D38" s="264"/>
      <c r="E38" s="265" t="str">
        <f>VLOOKUP('Appels de Fonds'!B13,'Feuille de Calcule'!A39:AP46,42,FALSE)</f>
        <v>0</v>
      </c>
      <c r="F38" s="266">
        <f>VLOOKUP('Appels de Fonds'!B13,'Feuille de Calcule'!A39:AP46,36,FALSE)</f>
        <v>0</v>
      </c>
      <c r="G38" s="265">
        <f>IF(E38="","",F38-E38)</f>
        <v>0</v>
      </c>
      <c r="H38" s="251"/>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ht="15">
      <c r="A39" s="267"/>
      <c r="B39" s="248"/>
      <c r="C39" s="248"/>
      <c r="D39" s="248"/>
      <c r="E39" s="268">
        <f>SUM(E35:E38)</f>
        <v>0</v>
      </c>
      <c r="F39" s="268">
        <f>SUM(F35:F38)</f>
        <v>0</v>
      </c>
      <c r="G39" s="268">
        <f>SUM(G35:G38)</f>
        <v>0</v>
      </c>
      <c r="H39" s="251"/>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ht="15">
      <c r="A40" s="251"/>
      <c r="B40" s="251"/>
      <c r="C40" s="258"/>
      <c r="D40" s="258"/>
      <c r="E40" s="258"/>
      <c r="F40" s="258"/>
      <c r="G40" s="259"/>
      <c r="H40" s="269"/>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row>
    <row r="41" spans="1:50" ht="15.75">
      <c r="A41" s="270" t="s">
        <v>108</v>
      </c>
      <c r="B41" s="271"/>
      <c r="C41" s="271" t="s">
        <v>210</v>
      </c>
      <c r="D41" s="272">
        <f ca="1">TODAY()</f>
        <v>42394</v>
      </c>
      <c r="E41" s="271">
        <f>Copropriété!B2</f>
        <v>2015</v>
      </c>
      <c r="F41" s="273"/>
      <c r="G41" s="274" t="s">
        <v>94</v>
      </c>
      <c r="H41" s="274" t="s">
        <v>95</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ht="15">
      <c r="A42" s="252" t="s">
        <v>327</v>
      </c>
      <c r="B42" s="253"/>
      <c r="C42" s="253"/>
      <c r="D42" s="253"/>
      <c r="E42" s="275"/>
      <c r="F42" s="253"/>
      <c r="G42" s="276">
        <f>VLOOKUP('Appels de Fonds'!B13,'Feuille de Calcule'!A39:AP46,20,FALSE)</f>
        <v>0</v>
      </c>
      <c r="H42" s="277">
        <f>VLOOKUP('Appels de Fonds'!B13,'Feuille de Calcule'!A39:AP46,21,FALSE)</f>
        <v>0</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ht="15">
      <c r="A43" s="262" t="s">
        <v>389</v>
      </c>
      <c r="B43" s="263"/>
      <c r="C43" s="263"/>
      <c r="D43" s="263"/>
      <c r="E43" s="278"/>
      <c r="F43" s="263"/>
      <c r="G43" s="279"/>
      <c r="H43" s="280">
        <f>VLOOKUP('Appels de Fonds'!B13,'Feuille de Calcule'!A39:AP46,24,FALSE)</f>
        <v>0</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row>
    <row r="44" spans="9:50" ht="15">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row>
    <row r="45" ht="15">
      <c r="G45" s="70"/>
    </row>
  </sheetData>
  <sheetProtection/>
  <mergeCells count="2">
    <mergeCell ref="C5:D5"/>
    <mergeCell ref="D12:E12"/>
  </mergeCells>
  <dataValidations count="2">
    <dataValidation type="list" allowBlank="1" showInputMessage="1" showErrorMessage="1" sqref="B13">
      <formula1>Lots</formula1>
    </dataValidation>
    <dataValidation type="list" allowBlank="1" showInputMessage="1" showErrorMessage="1" sqref="D12">
      <formula1>Fonds</formula1>
    </dataValidation>
  </dataValidations>
  <printOptions/>
  <pageMargins left="0.4724409448818898" right="0.5118110236220472" top="0.3937007874015748" bottom="0.3937007874015748" header="0.5118110236220472" footer="0"/>
  <pageSetup blackAndWhite="1" orientation="portrait" paperSize="9" r:id="rId3"/>
  <headerFooter alignWithMargins="0">
    <oddHeader>&amp;C
</oddHeader>
    <oddFooter>&amp;C&amp;"Arial,Gras"&amp;12
</oddFooter>
  </headerFooter>
  <legacyDrawing r:id="rId2"/>
</worksheet>
</file>

<file path=xl/worksheets/sheet6.xml><?xml version="1.0" encoding="utf-8"?>
<worksheet xmlns="http://schemas.openxmlformats.org/spreadsheetml/2006/main" xmlns:r="http://schemas.openxmlformats.org/officeDocument/2006/relationships">
  <sheetPr>
    <tabColor rgb="FF7030A0"/>
  </sheetPr>
  <dimension ref="A1:H44"/>
  <sheetViews>
    <sheetView showGridLines="0" zoomScalePageLayoutView="0" workbookViewId="0" topLeftCell="A16">
      <selection activeCell="B13" sqref="B13"/>
    </sheetView>
  </sheetViews>
  <sheetFormatPr defaultColWidth="10.8515625" defaultRowHeight="12.75"/>
  <cols>
    <col min="1" max="2" width="11.28125" style="11" customWidth="1"/>
    <col min="3" max="7" width="12.140625" style="11" customWidth="1"/>
    <col min="8" max="10" width="11.28125" style="11" customWidth="1"/>
    <col min="11" max="16384" width="10.8515625" style="11" customWidth="1"/>
  </cols>
  <sheetData>
    <row r="1" ht="46.5">
      <c r="A1" s="172" t="s">
        <v>102</v>
      </c>
    </row>
    <row r="2" ht="39.75" customHeight="1">
      <c r="A2" s="171"/>
    </row>
    <row r="3" ht="15"/>
    <row r="4" ht="15"/>
    <row r="5" spans="1:4" ht="15">
      <c r="A5" s="350" t="s">
        <v>492</v>
      </c>
      <c r="C5" s="483">
        <f ca="1">TODAY()</f>
        <v>42394</v>
      </c>
      <c r="D5" s="484"/>
    </row>
    <row r="6" ht="15"/>
    <row r="7" ht="15"/>
    <row r="8" ht="15.75">
      <c r="F8" s="10" t="str">
        <f>VLOOKUP(B13,'Feuille de Calcule'!A39:AZ46,3,FALSE)</f>
        <v>ATCHOUM</v>
      </c>
    </row>
    <row r="9" ht="15.75">
      <c r="F9" s="10">
        <f>VLOOKUP(B13,'Feuille de Calcule'!A39:AZ46,4,FALSE)</f>
        <v>0</v>
      </c>
    </row>
    <row r="10" ht="15.75">
      <c r="F10" s="10">
        <f>VLOOKUP(B13,'Feuille de Calcule'!A39:AZ46,5,FALSE)</f>
        <v>0</v>
      </c>
    </row>
    <row r="11" ht="15"/>
    <row r="12" ht="15"/>
    <row r="13" spans="1:3" ht="15">
      <c r="A13" s="11" t="s">
        <v>259</v>
      </c>
      <c r="B13" s="67" t="s">
        <v>408</v>
      </c>
      <c r="C13" s="11" t="s">
        <v>334</v>
      </c>
    </row>
    <row r="14" ht="15"/>
    <row r="15" ht="15">
      <c r="A15" s="11" t="s">
        <v>415</v>
      </c>
    </row>
    <row r="17" spans="1:3" ht="15.75">
      <c r="A17" s="11" t="s">
        <v>316</v>
      </c>
      <c r="B17" s="10"/>
      <c r="C17" s="65"/>
    </row>
    <row r="18" spans="1:2" ht="15.75">
      <c r="A18" s="11" t="str">
        <f>CONCATENATE("charges restant dù pour l'",Copropriété!A2,".")</f>
        <v>charges restant dù pour l'Exercice 2015.</v>
      </c>
      <c r="B18" s="10"/>
    </row>
    <row r="20" ht="15">
      <c r="A20" s="11" t="s">
        <v>317</v>
      </c>
    </row>
    <row r="22" ht="15">
      <c r="A22" s="11" t="s">
        <v>96</v>
      </c>
    </row>
    <row r="24" ht="15" customHeight="1"/>
    <row r="25" spans="1:2" ht="15.75">
      <c r="A25" s="10" t="str">
        <f>VLOOKUP(B13,'Feuille de Calcule'!A39:AZ46,1,FALSE)</f>
        <v>Lot n°2</v>
      </c>
      <c r="B25" s="10" t="str">
        <f>VLOOKUP(B13,'Feuille de Calcule'!A39:AZ46,2,FALSE)</f>
        <v>RDC :  Appartement - Jardin - Chaufferie</v>
      </c>
    </row>
    <row r="26" spans="1:8" ht="15.75">
      <c r="A26" s="247" t="s">
        <v>222</v>
      </c>
      <c r="B26" s="298"/>
      <c r="C26" s="300" t="s">
        <v>320</v>
      </c>
      <c r="D26" s="300" t="s">
        <v>13</v>
      </c>
      <c r="E26" s="300" t="s">
        <v>110</v>
      </c>
      <c r="F26" s="300" t="s">
        <v>112</v>
      </c>
      <c r="G26" s="300" t="s">
        <v>111</v>
      </c>
      <c r="H26" s="251"/>
    </row>
    <row r="27" spans="1:8" ht="15">
      <c r="A27" s="252" t="s">
        <v>414</v>
      </c>
      <c r="B27" s="253" t="str">
        <f>Copropriété!D4</f>
        <v>Générales</v>
      </c>
      <c r="C27" s="277">
        <f>Prévisionnel!E13</f>
        <v>0</v>
      </c>
      <c r="D27" s="281">
        <f>VLOOKUP(B13,'Feuille de Calcule'!A39:AZ46,7,FALSE)</f>
        <v>0</v>
      </c>
      <c r="E27" s="250">
        <f>VLOOKUP(B13,'Feuille de Calcule'!A39:AZ46,6,FALSE)</f>
        <v>162</v>
      </c>
      <c r="F27" s="252">
        <f>Copropriété!D10</f>
        <v>1000</v>
      </c>
      <c r="G27" s="282">
        <f>VLOOKUP(B13,'Feuille de Calcule'!A39:AZ48,46,FALSE)</f>
        <v>0</v>
      </c>
      <c r="H27" s="251"/>
    </row>
    <row r="28" spans="1:8" ht="15">
      <c r="A28" s="257" t="s">
        <v>414</v>
      </c>
      <c r="B28" s="258" t="str">
        <f>Copropriété!E4</f>
        <v>Escalier</v>
      </c>
      <c r="C28" s="282">
        <f>Prévisionnel!E20</f>
        <v>0</v>
      </c>
      <c r="D28" s="283">
        <f>VLOOKUP(B13,'Feuille de Calcule'!A39:AZ46,9,FALSE)</f>
        <v>0</v>
      </c>
      <c r="E28" s="284">
        <f>VLOOKUP(B13,'Feuille de Calcule'!A39:AZ46,8,FALSE)</f>
        <v>162</v>
      </c>
      <c r="F28" s="257">
        <f>Copropriété!E10</f>
        <v>1000</v>
      </c>
      <c r="G28" s="282">
        <f>VLOOKUP(B13,'Feuille de Calcule'!A39:AZ48,47,FALSE)</f>
        <v>0</v>
      </c>
      <c r="H28" s="251"/>
    </row>
    <row r="29" spans="1:8" ht="15">
      <c r="A29" s="257" t="s">
        <v>414</v>
      </c>
      <c r="B29" s="258" t="str">
        <f>Copropriété!F4</f>
        <v>Eau</v>
      </c>
      <c r="C29" s="282">
        <f>Prévisionnel!E25</f>
        <v>0</v>
      </c>
      <c r="D29" s="283">
        <f>VLOOKUP(B13,'Feuille de Calcule'!A39:AZ46,11,FALSE)</f>
        <v>162</v>
      </c>
      <c r="E29" s="284">
        <f>VLOOKUP(B13,'Feuille de Calcule'!A39:AZ46,10,FALSE)</f>
        <v>0</v>
      </c>
      <c r="F29" s="285">
        <f>Copropriété!F10</f>
        <v>1000</v>
      </c>
      <c r="G29" s="282">
        <f>VLOOKUP(B13,'Feuille de Calcule'!A39:AZ48,48,FALSE)</f>
        <v>0</v>
      </c>
      <c r="H29" s="251"/>
    </row>
    <row r="30" spans="1:8" ht="15">
      <c r="A30" s="257" t="s">
        <v>414</v>
      </c>
      <c r="B30" s="258" t="str">
        <f>Copropriété!G4</f>
        <v>Charge1</v>
      </c>
      <c r="C30" s="282">
        <f>Prévisionnel!E30</f>
        <v>0</v>
      </c>
      <c r="D30" s="283">
        <f>VLOOKUP(B13,'Feuille de Calcule'!A39:AZ46,13,FALSE)</f>
        <v>162</v>
      </c>
      <c r="E30" s="284">
        <f>VLOOKUP(B13,'Feuille de Calcule'!A39:AZ46,12,FALSE)</f>
        <v>0</v>
      </c>
      <c r="F30" s="257">
        <f>Copropriété!G10</f>
        <v>1000</v>
      </c>
      <c r="G30" s="282">
        <f>VLOOKUP(B13,'Feuille de Calcule'!A39:AZ48,49,FALSE)</f>
        <v>0</v>
      </c>
      <c r="H30" s="251"/>
    </row>
    <row r="31" spans="1:8" ht="15">
      <c r="A31" s="257" t="s">
        <v>414</v>
      </c>
      <c r="B31" s="258" t="str">
        <f>Copropriété!H4</f>
        <v>Charge2</v>
      </c>
      <c r="C31" s="282">
        <f>Prévisionnel!E35</f>
        <v>0</v>
      </c>
      <c r="D31" s="283">
        <f>VLOOKUP(B13,'Feuille de Calcule'!A39:AZ46,15,FALSE)</f>
        <v>162</v>
      </c>
      <c r="E31" s="284">
        <f>VLOOKUP(B13,'Feuille de Calcule'!A39:AZ46,14,FALSE)</f>
        <v>0</v>
      </c>
      <c r="F31" s="257">
        <f>Copropriété!H10</f>
        <v>1000</v>
      </c>
      <c r="G31" s="282">
        <f>VLOOKUP(B13,'Feuille de Calcule'!A39:AZ48,50,FALSE)</f>
        <v>0</v>
      </c>
      <c r="H31" s="251"/>
    </row>
    <row r="32" spans="1:8" ht="15">
      <c r="A32" s="257"/>
      <c r="B32" s="258" t="str">
        <f>Copropriété!I4</f>
        <v>Travaux</v>
      </c>
      <c r="C32" s="282">
        <f>Prévisionnel!E38</f>
        <v>0</v>
      </c>
      <c r="D32" s="283">
        <f>VLOOKUP(B13,'Feuille de Calcule'!A39:AZ46,17,FALSE)</f>
        <v>162</v>
      </c>
      <c r="E32" s="284">
        <f>VLOOKUP(B13,'Feuille de Calcule'!A39:AZ46,16,FALSE)</f>
        <v>0</v>
      </c>
      <c r="F32" s="257">
        <f>Copropriété!I10</f>
        <v>1000</v>
      </c>
      <c r="G32" s="282">
        <f>VLOOKUP(B13,'Feuille de Calcule'!A39:AZ48,51,FALSE)</f>
        <v>0</v>
      </c>
      <c r="H32" s="251"/>
    </row>
    <row r="33" spans="1:8" ht="15">
      <c r="A33" s="262"/>
      <c r="B33" s="263" t="str">
        <f>Copropriété!J4</f>
        <v>Provision</v>
      </c>
      <c r="C33" s="280">
        <f>Prévisionnel!E39</f>
        <v>0</v>
      </c>
      <c r="D33" s="286">
        <f>VLOOKUP(B13,'Feuille de Calcule'!A39:AZ46,19,FALSE)</f>
        <v>0</v>
      </c>
      <c r="E33" s="287">
        <f>VLOOKUP(B13,'Feuille de Calcule'!A39:AZ46,18,FALSE)</f>
        <v>162</v>
      </c>
      <c r="F33" s="262">
        <f>Copropriété!J10</f>
        <v>1000</v>
      </c>
      <c r="G33" s="282">
        <f>VLOOKUP(B13,'Feuille de Calcule'!A39:AZ48,52,FALSE)</f>
        <v>0</v>
      </c>
      <c r="H33" s="251"/>
    </row>
    <row r="34" spans="1:8" ht="15.75">
      <c r="A34" s="251"/>
      <c r="B34" s="251"/>
      <c r="C34" s="251"/>
      <c r="D34" s="301" t="s">
        <v>29</v>
      </c>
      <c r="E34" s="267"/>
      <c r="F34" s="288"/>
      <c r="G34" s="289">
        <f>SUM(G27:G33)</f>
        <v>0</v>
      </c>
      <c r="H34" s="251"/>
    </row>
    <row r="35" spans="1:8" ht="15">
      <c r="A35" s="251"/>
      <c r="B35" s="251"/>
      <c r="C35" s="251"/>
      <c r="D35" s="290" t="s">
        <v>211</v>
      </c>
      <c r="E35" s="263"/>
      <c r="F35" s="291"/>
      <c r="G35" s="289">
        <f>VLOOKUP(B13,'Feuille de Calcule'!A39:BA48,53,FALSE)</f>
        <v>0</v>
      </c>
      <c r="H35" s="251"/>
    </row>
    <row r="36" spans="1:8" ht="15">
      <c r="A36" s="251"/>
      <c r="B36" s="251"/>
      <c r="C36" s="251"/>
      <c r="D36" s="251"/>
      <c r="E36" s="251"/>
      <c r="F36" s="251"/>
      <c r="G36" s="251"/>
      <c r="H36" s="251"/>
    </row>
    <row r="37" spans="1:8" ht="15.75">
      <c r="A37" s="270" t="s">
        <v>108</v>
      </c>
      <c r="B37" s="271"/>
      <c r="C37" s="271" t="s">
        <v>210</v>
      </c>
      <c r="D37" s="292">
        <f ca="1">TODAY()</f>
        <v>42394</v>
      </c>
      <c r="E37" s="271"/>
      <c r="F37" s="273"/>
      <c r="G37" s="274" t="s">
        <v>94</v>
      </c>
      <c r="H37" s="274" t="s">
        <v>95</v>
      </c>
    </row>
    <row r="38" spans="1:8" ht="15">
      <c r="A38" s="252" t="s">
        <v>327</v>
      </c>
      <c r="B38" s="253"/>
      <c r="C38" s="253"/>
      <c r="D38" s="253"/>
      <c r="E38" s="275"/>
      <c r="F38" s="253"/>
      <c r="G38" s="276">
        <f>VLOOKUP(B13,'Feuille de Calcule'!A39:AZ46,20,FALSE)</f>
        <v>0</v>
      </c>
      <c r="H38" s="277">
        <f>VLOOKUP(B13,'Feuille de Calcule'!A39:AZ46,21,FALSE)</f>
        <v>0</v>
      </c>
    </row>
    <row r="39" spans="1:8" ht="15">
      <c r="A39" s="257" t="s">
        <v>389</v>
      </c>
      <c r="B39" s="258"/>
      <c r="C39" s="258"/>
      <c r="D39" s="258"/>
      <c r="E39" s="293"/>
      <c r="F39" s="258"/>
      <c r="G39" s="294"/>
      <c r="H39" s="282">
        <f>VLOOKUP(B13,'Feuille de Calcule'!A39:AZ46,24,FALSE)</f>
        <v>0</v>
      </c>
    </row>
    <row r="40" spans="1:8" ht="15">
      <c r="A40" s="262" t="s">
        <v>298</v>
      </c>
      <c r="B40" s="263"/>
      <c r="C40" s="263"/>
      <c r="D40" s="263"/>
      <c r="E40" s="263"/>
      <c r="F40" s="263"/>
      <c r="G40" s="279">
        <f>VLOOKUP(B13,'Feuille de Calcule'!A39:AZ46,22,FALSE)</f>
        <v>0</v>
      </c>
      <c r="H40" s="280">
        <f>VLOOKUP(B13,'Feuille de Calcule'!A39:AZ46,23,FALSE)</f>
        <v>0</v>
      </c>
    </row>
    <row r="41" spans="1:8" ht="15">
      <c r="A41" s="267" t="s">
        <v>283</v>
      </c>
      <c r="B41" s="248"/>
      <c r="C41" s="248"/>
      <c r="D41" s="263"/>
      <c r="E41" s="263"/>
      <c r="F41" s="263"/>
      <c r="G41" s="280">
        <f>IF(G35-G34&gt;=0,0,G35-G34)</f>
        <v>0</v>
      </c>
      <c r="H41" s="295">
        <f>IF(G38="",H38,G38)</f>
        <v>0</v>
      </c>
    </row>
    <row r="42" spans="1:8" ht="15.75">
      <c r="A42" s="251"/>
      <c r="B42" s="251"/>
      <c r="C42" s="251"/>
      <c r="D42" s="296" t="s">
        <v>28</v>
      </c>
      <c r="E42" s="297"/>
      <c r="F42" s="298"/>
      <c r="G42" s="299">
        <f>IF(H41+G41&lt;=0,H41+G41,"")</f>
        <v>0</v>
      </c>
      <c r="H42" s="299">
        <f>IF(H41+G41&gt;=0,H41+G41,"")</f>
        <v>0</v>
      </c>
    </row>
    <row r="43" spans="3:8" ht="15">
      <c r="C43" s="167"/>
      <c r="D43" s="168" t="s">
        <v>190</v>
      </c>
      <c r="G43" s="70"/>
      <c r="H43" s="70"/>
    </row>
    <row r="44" spans="3:8" ht="15">
      <c r="C44" s="168"/>
      <c r="D44" s="169" t="s">
        <v>161</v>
      </c>
      <c r="F44" s="65"/>
      <c r="H44" s="70"/>
    </row>
  </sheetData>
  <sheetProtection/>
  <mergeCells count="1">
    <mergeCell ref="C5:D5"/>
  </mergeCells>
  <dataValidations count="1">
    <dataValidation type="list" allowBlank="1" showInputMessage="1" showErrorMessage="1" sqref="B13">
      <formula1>Lots</formula1>
    </dataValidation>
  </dataValidations>
  <printOptions/>
  <pageMargins left="0.4724409448818898" right="0.5118110236220472" top="0.3937007874015748" bottom="0.3937007874015748" header="0.5118110236220472" footer="0"/>
  <pageSetup blackAndWhite="1" orientation="portrait" paperSize="9" r:id="rId3"/>
  <headerFooter alignWithMargins="0">
    <oddHeader>&amp;C
</oddHeader>
    <oddFooter>&amp;C&amp;"Arial,Gras"&amp;12
</oddFooter>
  </headerFooter>
  <legacyDrawing r:id="rId2"/>
</worksheet>
</file>

<file path=xl/worksheets/sheet7.xml><?xml version="1.0" encoding="utf-8"?>
<worksheet xmlns="http://schemas.openxmlformats.org/spreadsheetml/2006/main" xmlns:r="http://schemas.openxmlformats.org/officeDocument/2006/relationships">
  <sheetPr>
    <tabColor rgb="FF7030A0"/>
  </sheetPr>
  <dimension ref="A1:H43"/>
  <sheetViews>
    <sheetView showGridLines="0" zoomScalePageLayoutView="0" workbookViewId="0" topLeftCell="A1">
      <selection activeCell="J2" sqref="J2"/>
    </sheetView>
  </sheetViews>
  <sheetFormatPr defaultColWidth="10.8515625" defaultRowHeight="12.75"/>
  <cols>
    <col min="1" max="6" width="10.8515625" style="11" customWidth="1"/>
    <col min="7" max="16384" width="10.8515625" style="11" customWidth="1"/>
  </cols>
  <sheetData>
    <row r="1" ht="45">
      <c r="A1" s="172" t="s">
        <v>102</v>
      </c>
    </row>
    <row r="2" ht="39.75" customHeight="1">
      <c r="A2" s="171"/>
    </row>
    <row r="5" spans="1:4" ht="15">
      <c r="A5" s="350" t="s">
        <v>492</v>
      </c>
      <c r="C5" s="483">
        <f ca="1">TODAY()</f>
        <v>42394</v>
      </c>
      <c r="D5" s="484"/>
    </row>
    <row r="8" ht="15.75">
      <c r="F8" s="10" t="str">
        <f>VLOOKUP(B13,'Feuille de Calcule'!A39:AE46,3,FALSE)</f>
        <v>DORMEUR</v>
      </c>
    </row>
    <row r="9" ht="15.75">
      <c r="F9" s="10">
        <f>VLOOKUP(B13,'Feuille de Calcule'!A39:AE46,4,FALSE)</f>
        <v>0</v>
      </c>
    </row>
    <row r="10" ht="15.75">
      <c r="F10" s="10">
        <f>VLOOKUP(B13,'Feuille de Calcule'!A39:AE46,5,FALSE)</f>
        <v>0</v>
      </c>
    </row>
    <row r="12" spans="1:2" ht="15">
      <c r="A12" s="11" t="s">
        <v>259</v>
      </c>
      <c r="B12" s="11" t="s">
        <v>260</v>
      </c>
    </row>
    <row r="13" ht="15">
      <c r="B13" s="67" t="s">
        <v>209</v>
      </c>
    </row>
    <row r="15" ht="15">
      <c r="A15" s="11" t="s">
        <v>428</v>
      </c>
    </row>
    <row r="17" spans="1:8" ht="30" customHeight="1">
      <c r="A17" s="487" t="str">
        <f>CONCATENATE("Vous trouverez ci-dessous l'état des charges de votre compte de copropriété pour l'",Copropriété!A2,".")</f>
        <v>Vous trouverez ci-dessous l'état des charges de votre compte de copropriété pour l'Exercice 2015.</v>
      </c>
      <c r="B17" s="487"/>
      <c r="C17" s="487"/>
      <c r="D17" s="487"/>
      <c r="E17" s="487"/>
      <c r="F17" s="487"/>
      <c r="G17" s="487"/>
      <c r="H17" s="487"/>
    </row>
    <row r="19" ht="15">
      <c r="A19" s="11" t="s">
        <v>317</v>
      </c>
    </row>
    <row r="21" ht="15">
      <c r="A21" s="11" t="s">
        <v>96</v>
      </c>
    </row>
    <row r="23" ht="15" customHeight="1"/>
    <row r="24" spans="1:2" ht="15.75">
      <c r="A24" s="10" t="str">
        <f>VLOOKUP(B13,'Feuille de Calcule'!A39:AE46,1,FALSE)</f>
        <v>Lot n°5</v>
      </c>
      <c r="B24" s="10" t="str">
        <f>VLOOKUP(B13,'Feuille de Calcule'!A39:AE46,2,FALSE)</f>
        <v>Etage : Appartement</v>
      </c>
    </row>
    <row r="25" spans="1:8" s="10" customFormat="1" ht="15.75">
      <c r="A25" s="247" t="s">
        <v>414</v>
      </c>
      <c r="B25" s="298"/>
      <c r="C25" s="300" t="s">
        <v>320</v>
      </c>
      <c r="D25" s="300" t="s">
        <v>13</v>
      </c>
      <c r="E25" s="300" t="s">
        <v>110</v>
      </c>
      <c r="F25" s="300" t="s">
        <v>112</v>
      </c>
      <c r="G25" s="300" t="s">
        <v>111</v>
      </c>
      <c r="H25" s="120"/>
    </row>
    <row r="26" spans="1:8" ht="15">
      <c r="A26" s="252" t="s">
        <v>414</v>
      </c>
      <c r="B26" s="253" t="str">
        <f>Copropriété!D4</f>
        <v>Générales</v>
      </c>
      <c r="C26" s="277">
        <f>-(Prévisionnel!I13)</f>
        <v>0</v>
      </c>
      <c r="D26" s="281">
        <f>VLOOKUP(B13,'Feuille de Calcule'!A39:AE46,7,FALSE)</f>
        <v>0</v>
      </c>
      <c r="E26" s="250">
        <f>VLOOKUP(B13,'Feuille de Calcule'!A39:AE46,6,FALSE)</f>
        <v>223</v>
      </c>
      <c r="F26" s="252">
        <f>Copropriété!D67</f>
        <v>1000</v>
      </c>
      <c r="G26" s="282">
        <f>VLOOKUP(B13,'Feuille de Calcule'!A39:AE46,25,FALSE)</f>
        <v>0</v>
      </c>
      <c r="H26" s="251"/>
    </row>
    <row r="27" spans="1:8" ht="15">
      <c r="A27" s="257" t="s">
        <v>414</v>
      </c>
      <c r="B27" s="258" t="str">
        <f>Copropriété!E4</f>
        <v>Escalier</v>
      </c>
      <c r="C27" s="282">
        <f>-(Prévisionnel!I20)</f>
        <v>0</v>
      </c>
      <c r="D27" s="283">
        <f>VLOOKUP(B13,'Feuille de Calcule'!A39:AE46,9,FALSE)</f>
        <v>0</v>
      </c>
      <c r="E27" s="284">
        <f>VLOOKUP(B13,'Feuille de Calcule'!A39:AE46,8,FALSE)</f>
        <v>223</v>
      </c>
      <c r="F27" s="257">
        <f>Copropriété!E67</f>
        <v>1000</v>
      </c>
      <c r="G27" s="282">
        <f>VLOOKUP(B13,'Feuille de Calcule'!A39:AE46,26,FALSE)</f>
        <v>0</v>
      </c>
      <c r="H27" s="251"/>
    </row>
    <row r="28" spans="1:8" ht="15">
      <c r="A28" s="257" t="s">
        <v>414</v>
      </c>
      <c r="B28" s="258" t="str">
        <f>Copropriété!F4</f>
        <v>Eau</v>
      </c>
      <c r="C28" s="282">
        <f>-(Prévisionnel!I25)</f>
        <v>0</v>
      </c>
      <c r="D28" s="283">
        <f>(VLOOKUP(B13,'Feuille de Calcule'!A39:AE46,11,FALSE))/10</f>
        <v>22.3</v>
      </c>
      <c r="E28" s="284">
        <f>VLOOKUP(B13,'Feuille de Calcule'!A39:AE46,10,FALSE)</f>
        <v>0</v>
      </c>
      <c r="F28" s="257">
        <f>Copropriété!F67/10</f>
        <v>100</v>
      </c>
      <c r="G28" s="282">
        <f>VLOOKUP(B13,'Feuille de Calcule'!A39:AE46,27,FALSE)</f>
        <v>0</v>
      </c>
      <c r="H28" s="251"/>
    </row>
    <row r="29" spans="1:8" ht="15">
      <c r="A29" s="257" t="s">
        <v>414</v>
      </c>
      <c r="B29" s="258" t="str">
        <f>Copropriété!G4</f>
        <v>Charge1</v>
      </c>
      <c r="C29" s="282">
        <f>-(Prévisionnel!I30)</f>
        <v>0</v>
      </c>
      <c r="D29" s="283">
        <f>VLOOKUP(B13,'Feuille de Calcule'!A39:AE46,13,FALSE)</f>
        <v>223</v>
      </c>
      <c r="E29" s="284">
        <f>VLOOKUP(B13,'Feuille de Calcule'!A39:AE46,12,FALSE)</f>
        <v>0</v>
      </c>
      <c r="F29" s="257">
        <f>Copropriété!G67</f>
        <v>1000</v>
      </c>
      <c r="G29" s="282">
        <f>VLOOKUP(B13,'Feuille de Calcule'!A39:AE46,28,FALSE)</f>
        <v>0</v>
      </c>
      <c r="H29" s="251"/>
    </row>
    <row r="30" spans="1:8" ht="15">
      <c r="A30" s="257" t="s">
        <v>414</v>
      </c>
      <c r="B30" s="258" t="str">
        <f>Copropriété!H4</f>
        <v>Charge2</v>
      </c>
      <c r="C30" s="282">
        <f>-(Prévisionnel!I35)</f>
        <v>0</v>
      </c>
      <c r="D30" s="283">
        <f>VLOOKUP(B13,'Feuille de Calcule'!A39:AE46,15,FALSE)</f>
        <v>223</v>
      </c>
      <c r="E30" s="284">
        <f>VLOOKUP(B13,'Feuille de Calcule'!A39:AE46,14,FALSE)</f>
        <v>0</v>
      </c>
      <c r="F30" s="257">
        <f>Copropriété!H67</f>
        <v>1000</v>
      </c>
      <c r="G30" s="282">
        <f>VLOOKUP(B13,'Feuille de Calcule'!A39:AE46,29,FALSE)</f>
        <v>0</v>
      </c>
      <c r="H30" s="251"/>
    </row>
    <row r="31" spans="1:8" ht="15">
      <c r="A31" s="257"/>
      <c r="B31" s="258" t="str">
        <f>Copropriété!I4</f>
        <v>Travaux</v>
      </c>
      <c r="C31" s="282">
        <f>-(Prévisionnel!I38)</f>
        <v>0</v>
      </c>
      <c r="D31" s="283">
        <f>VLOOKUP(B13,'Feuille de Calcule'!A39:AE46,17,FALSE)</f>
        <v>223</v>
      </c>
      <c r="E31" s="284">
        <f>VLOOKUP(B13,'Feuille de Calcule'!A39:AE46,16,FALSE)</f>
        <v>0</v>
      </c>
      <c r="F31" s="257">
        <f>Copropriété!I67</f>
        <v>1000</v>
      </c>
      <c r="G31" s="282">
        <f>VLOOKUP(B13,'Feuille de Calcule'!A39:AE46,30,FALSE)</f>
        <v>0</v>
      </c>
      <c r="H31" s="251"/>
    </row>
    <row r="32" spans="1:8" ht="15">
      <c r="A32" s="262"/>
      <c r="B32" s="263" t="str">
        <f>Copropriété!J4</f>
        <v>Provision</v>
      </c>
      <c r="C32" s="280">
        <f>-(Prévisionnel!I39)</f>
        <v>0</v>
      </c>
      <c r="D32" s="286">
        <f>VLOOKUP(B13,'Feuille de Calcule'!A39:AE46,19,FALSE)</f>
        <v>0</v>
      </c>
      <c r="E32" s="287">
        <f>VLOOKUP(B13,'Feuille de Calcule'!A39:AE46,18,FALSE)</f>
        <v>223</v>
      </c>
      <c r="F32" s="262">
        <f>Copropriété!J67</f>
        <v>1000</v>
      </c>
      <c r="G32" s="282">
        <f>VLOOKUP(B13,'Feuille de Calcule'!A39:AE46,31,FALSE)</f>
        <v>0</v>
      </c>
      <c r="H32" s="251"/>
    </row>
    <row r="33" spans="1:8" s="10" customFormat="1" ht="15.75">
      <c r="A33" s="338" t="s">
        <v>435</v>
      </c>
      <c r="B33" s="120"/>
      <c r="C33" s="120"/>
      <c r="D33" s="301" t="s">
        <v>29</v>
      </c>
      <c r="E33" s="247"/>
      <c r="F33" s="302"/>
      <c r="G33" s="299">
        <f>SUM(G26:G32)</f>
        <v>0</v>
      </c>
      <c r="H33" s="120"/>
    </row>
    <row r="34" spans="1:8" ht="15">
      <c r="A34" s="251"/>
      <c r="B34" s="251"/>
      <c r="C34" s="251"/>
      <c r="D34" s="488" t="s">
        <v>139</v>
      </c>
      <c r="E34" s="489"/>
      <c r="F34" s="490"/>
      <c r="G34" s="268">
        <f>G28+(VLOOKUP(B13,'Feuille de Calcule'!A58:D65,4,FALSE))</f>
        <v>0</v>
      </c>
      <c r="H34" s="251"/>
    </row>
    <row r="35" spans="1:8" ht="15">
      <c r="A35" s="251"/>
      <c r="B35" s="251"/>
      <c r="C35" s="251"/>
      <c r="D35" s="251"/>
      <c r="E35" s="251"/>
      <c r="F35" s="251"/>
      <c r="G35" s="251"/>
      <c r="H35" s="251"/>
    </row>
    <row r="36" spans="1:8" ht="15.75">
      <c r="A36" s="270" t="s">
        <v>108</v>
      </c>
      <c r="B36" s="271"/>
      <c r="C36" s="271" t="s">
        <v>210</v>
      </c>
      <c r="D36" s="272">
        <v>39447</v>
      </c>
      <c r="E36" s="271">
        <f>Copropriété!B2</f>
        <v>2015</v>
      </c>
      <c r="F36" s="273"/>
      <c r="G36" s="274" t="s">
        <v>94</v>
      </c>
      <c r="H36" s="274" t="s">
        <v>95</v>
      </c>
    </row>
    <row r="37" spans="1:8" ht="15">
      <c r="A37" s="252" t="s">
        <v>327</v>
      </c>
      <c r="B37" s="253"/>
      <c r="C37" s="253"/>
      <c r="D37" s="253"/>
      <c r="E37" s="275"/>
      <c r="F37" s="253"/>
      <c r="G37" s="276">
        <f>VLOOKUP(B13,'Feuille de Calcule'!A39:AE46,20,FALSE)</f>
        <v>0</v>
      </c>
      <c r="H37" s="277">
        <f>VLOOKUP(B13,'Feuille de Calcule'!A39:AE46,21,FALSE)</f>
        <v>0</v>
      </c>
    </row>
    <row r="38" spans="1:8" ht="15">
      <c r="A38" s="257" t="s">
        <v>389</v>
      </c>
      <c r="B38" s="258"/>
      <c r="C38" s="258"/>
      <c r="D38" s="258"/>
      <c r="E38" s="293"/>
      <c r="F38" s="258"/>
      <c r="G38" s="294"/>
      <c r="H38" s="282">
        <f>VLOOKUP(B13,'Feuille de Calcule'!A39:AE46,24,FALSE)</f>
        <v>0</v>
      </c>
    </row>
    <row r="39" spans="1:8" ht="15">
      <c r="A39" s="262" t="s">
        <v>298</v>
      </c>
      <c r="B39" s="263"/>
      <c r="C39" s="263"/>
      <c r="D39" s="263"/>
      <c r="E39" s="263"/>
      <c r="F39" s="263"/>
      <c r="G39" s="279">
        <f>VLOOKUP(B13,'Feuille de Calcule'!A39:AE46,22,FALSE)</f>
        <v>0</v>
      </c>
      <c r="H39" s="280">
        <f>VLOOKUP(B13,'Feuille de Calcule'!A39:AE46,23,FALSE)</f>
        <v>0</v>
      </c>
    </row>
    <row r="40" spans="1:8" ht="15">
      <c r="A40"/>
      <c r="B40"/>
      <c r="C40"/>
      <c r="D40"/>
      <c r="E40"/>
      <c r="F40"/>
      <c r="G40"/>
      <c r="H40"/>
    </row>
    <row r="41" spans="1:8" ht="15">
      <c r="A41"/>
      <c r="B41"/>
      <c r="C41"/>
      <c r="D41"/>
      <c r="E41"/>
      <c r="F41"/>
      <c r="G41"/>
      <c r="H41"/>
    </row>
    <row r="42" spans="4:8" ht="15">
      <c r="D42" s="167"/>
      <c r="G42" s="70"/>
      <c r="H42" s="70"/>
    </row>
    <row r="43" spans="4:8" ht="15">
      <c r="D43" s="168"/>
      <c r="F43" s="65"/>
      <c r="H43" s="70"/>
    </row>
  </sheetData>
  <sheetProtection/>
  <mergeCells count="3">
    <mergeCell ref="A17:H17"/>
    <mergeCell ref="D34:F34"/>
    <mergeCell ref="C5:D5"/>
  </mergeCells>
  <dataValidations count="1">
    <dataValidation type="list" allowBlank="1" showInputMessage="1" showErrorMessage="1" sqref="B13">
      <formula1>Lots</formula1>
    </dataValidation>
  </dataValidations>
  <printOptions/>
  <pageMargins left="0.4724409448818898" right="0.5118110236220472" top="0.3937007874015748" bottom="0.3937007874015748" header="0.5118110236220472" footer="0"/>
  <pageSetup blackAndWhite="1" orientation="portrait" paperSize="9" r:id="rId2"/>
  <headerFooter alignWithMargins="0">
    <oddHeader>&amp;C
</oddHeader>
    <oddFooter>&amp;C&amp;"Arial,Gras"&amp;12
</oddFooter>
  </headerFooter>
  <legacyDrawing r:id="rId1"/>
</worksheet>
</file>

<file path=xl/worksheets/sheet8.xml><?xml version="1.0" encoding="utf-8"?>
<worksheet xmlns="http://schemas.openxmlformats.org/spreadsheetml/2006/main" xmlns:r="http://schemas.openxmlformats.org/officeDocument/2006/relationships">
  <sheetPr>
    <tabColor rgb="FF92D050"/>
  </sheetPr>
  <dimension ref="A1:T92"/>
  <sheetViews>
    <sheetView showGridLines="0" zoomScalePageLayoutView="0" workbookViewId="0" topLeftCell="A1">
      <selection activeCell="J81" sqref="J81"/>
    </sheetView>
  </sheetViews>
  <sheetFormatPr defaultColWidth="11.421875" defaultRowHeight="12.75"/>
  <cols>
    <col min="1" max="2" width="13.421875" style="0" customWidth="1"/>
    <col min="3" max="3" width="20.7109375" style="0" customWidth="1"/>
    <col min="4" max="5" width="11.8515625" style="0" customWidth="1"/>
    <col min="6" max="6" width="2.8515625" style="0" customWidth="1"/>
    <col min="7" max="11" width="11.8515625" style="0" customWidth="1"/>
    <col min="12" max="12" width="5.8515625" style="0" customWidth="1"/>
    <col min="13" max="13" width="31.8515625" style="0" customWidth="1"/>
    <col min="15" max="19" width="11.8515625" style="0" customWidth="1"/>
    <col min="21" max="21" width="5.8515625" style="0" customWidth="1"/>
    <col min="22" max="22" width="30.8515625" style="0" customWidth="1"/>
    <col min="23" max="27" width="11.8515625" style="0" customWidth="1"/>
  </cols>
  <sheetData>
    <row r="1" spans="1:20" ht="15.75">
      <c r="A1" s="120" t="s">
        <v>31</v>
      </c>
      <c r="F1" s="12" t="s">
        <v>182</v>
      </c>
      <c r="I1" s="62">
        <f>Copropriété!B2</f>
        <v>2015</v>
      </c>
      <c r="K1" s="119" t="s">
        <v>32</v>
      </c>
      <c r="L1" s="120" t="s">
        <v>31</v>
      </c>
      <c r="O1" s="10" t="s">
        <v>26</v>
      </c>
      <c r="Q1" s="62">
        <f>Copropriété!B2</f>
        <v>2015</v>
      </c>
      <c r="T1" s="119" t="s">
        <v>360</v>
      </c>
    </row>
    <row r="2" spans="1:20" ht="15">
      <c r="A2" s="120">
        <f>Copropriété!J1</f>
        <v>0</v>
      </c>
      <c r="K2" s="99" t="s">
        <v>64</v>
      </c>
      <c r="L2" s="120">
        <f>A2</f>
        <v>0</v>
      </c>
      <c r="T2" s="99" t="s">
        <v>65</v>
      </c>
    </row>
    <row r="3" spans="1:18" ht="12.75">
      <c r="A3" s="427"/>
      <c r="B3" s="428"/>
      <c r="C3" s="429" t="s">
        <v>212</v>
      </c>
      <c r="D3" s="428"/>
      <c r="E3" s="428"/>
      <c r="F3" s="429" t="s">
        <v>277</v>
      </c>
      <c r="G3" s="428"/>
      <c r="H3" s="428"/>
      <c r="I3" s="429" t="s">
        <v>463</v>
      </c>
      <c r="J3" s="428"/>
      <c r="K3" s="441"/>
      <c r="L3" s="121" t="s">
        <v>24</v>
      </c>
      <c r="M3" s="92"/>
      <c r="N3" s="92"/>
      <c r="O3" s="92"/>
      <c r="P3" s="92"/>
      <c r="Q3" s="92"/>
      <c r="R3" s="95"/>
    </row>
    <row r="4" spans="1:18" ht="51">
      <c r="A4" s="430" t="s">
        <v>21</v>
      </c>
      <c r="B4" s="431"/>
      <c r="C4" s="431"/>
      <c r="D4" s="432" t="s">
        <v>49</v>
      </c>
      <c r="E4" s="432" t="s">
        <v>22</v>
      </c>
      <c r="F4" s="480"/>
      <c r="G4" s="442" t="s">
        <v>115</v>
      </c>
      <c r="H4" s="431"/>
      <c r="I4" s="431"/>
      <c r="J4" s="432" t="s">
        <v>49</v>
      </c>
      <c r="K4" s="432" t="s">
        <v>22</v>
      </c>
      <c r="L4" s="2"/>
      <c r="M4" s="107"/>
      <c r="N4" s="102" t="s">
        <v>49</v>
      </c>
      <c r="O4" s="104" t="s">
        <v>242</v>
      </c>
      <c r="P4" s="104" t="s">
        <v>191</v>
      </c>
      <c r="Q4" s="104" t="s">
        <v>157</v>
      </c>
      <c r="R4" s="104" t="s">
        <v>284</v>
      </c>
    </row>
    <row r="5" spans="1:18" ht="12.75">
      <c r="A5" s="433"/>
      <c r="B5" s="431"/>
      <c r="C5" s="431"/>
      <c r="D5" s="434"/>
      <c r="E5" s="434"/>
      <c r="F5" s="481"/>
      <c r="G5" s="431"/>
      <c r="H5" s="431"/>
      <c r="I5" s="431"/>
      <c r="J5" s="434"/>
      <c r="K5" s="434"/>
      <c r="L5" s="3"/>
      <c r="M5" s="108"/>
      <c r="N5" s="130">
        <f>Copropriété!B2-1</f>
        <v>2014</v>
      </c>
      <c r="O5" s="130">
        <f>Copropriété!B2</f>
        <v>2015</v>
      </c>
      <c r="P5" s="130">
        <f>Copropriété!B2</f>
        <v>2015</v>
      </c>
      <c r="Q5" s="130">
        <f>Copropriété!B2+1</f>
        <v>2016</v>
      </c>
      <c r="R5" s="130">
        <f>Copropriété!B2+2</f>
        <v>2017</v>
      </c>
    </row>
    <row r="6" spans="1:18" ht="12.75">
      <c r="A6" s="433" t="s">
        <v>341</v>
      </c>
      <c r="B6" s="431"/>
      <c r="C6" s="431"/>
      <c r="D6" s="435"/>
      <c r="E6" s="435"/>
      <c r="F6" s="481"/>
      <c r="G6" s="431" t="s">
        <v>169</v>
      </c>
      <c r="H6" s="431"/>
      <c r="I6" s="431"/>
      <c r="J6" s="435"/>
      <c r="K6" s="435">
        <f>'Comptes Lots'!G22+'Comptes Lots'!G45+'Comptes Lots'!G68+'Comptes Lots'!G91+'Comptes Lots'!G114+'Comptes Lots'!G137+'Comptes Lots'!G160+'Comptes Lots'!G183</f>
        <v>0</v>
      </c>
      <c r="L6" s="3" t="s">
        <v>215</v>
      </c>
      <c r="M6" s="108"/>
      <c r="N6" s="231"/>
      <c r="O6" s="232">
        <f>Prévisionnel!L41</f>
        <v>0</v>
      </c>
      <c r="P6" s="232">
        <f>-('Livre de compte'!Z17+'Livre de compte'!Z30+'Livre de compte'!Z43+'Livre de compte'!Z60+'Livre de compte'!Z73+'Livre de compte'!Z86+'Livre de compte'!Z103+'Livre de compte'!Z116+'Livre de compte'!Z129+'Livre de compte'!Z146+'Livre de compte'!Z159+'Livre de compte'!Z172)</f>
        <v>0</v>
      </c>
      <c r="Q6" s="231"/>
      <c r="R6" s="231"/>
    </row>
    <row r="7" spans="1:18" ht="12.75">
      <c r="A7" s="433" t="s">
        <v>168</v>
      </c>
      <c r="B7" s="431"/>
      <c r="C7" s="431"/>
      <c r="D7" s="435"/>
      <c r="E7" s="435">
        <f>'Livre de compte'!F172</f>
        <v>0</v>
      </c>
      <c r="F7" s="481"/>
      <c r="G7" s="431" t="s">
        <v>170</v>
      </c>
      <c r="H7" s="431"/>
      <c r="I7" s="431"/>
      <c r="J7" s="435"/>
      <c r="K7" s="435"/>
      <c r="L7" s="3"/>
      <c r="M7" s="108"/>
      <c r="N7" s="233"/>
      <c r="O7" s="233"/>
      <c r="P7" s="233"/>
      <c r="Q7" s="233"/>
      <c r="R7" s="233"/>
    </row>
    <row r="8" spans="1:18" ht="12.75">
      <c r="A8" s="433"/>
      <c r="B8" s="431"/>
      <c r="C8" s="431"/>
      <c r="D8" s="435"/>
      <c r="E8" s="435"/>
      <c r="F8" s="481"/>
      <c r="G8" s="431">
        <v>1031</v>
      </c>
      <c r="H8" s="431" t="s">
        <v>302</v>
      </c>
      <c r="I8" s="431"/>
      <c r="J8" s="435"/>
      <c r="K8" s="435"/>
      <c r="L8" s="3" t="s">
        <v>420</v>
      </c>
      <c r="M8" s="108"/>
      <c r="N8" s="234"/>
      <c r="O8" s="233">
        <f>Prévisionnel!M41</f>
        <v>0</v>
      </c>
      <c r="P8" s="233">
        <f>-('Livre de compte'!AA17+'Livre de compte'!AA30+'Livre de compte'!AA43+'Livre de compte'!AA60+'Livre de compte'!AA73+'Livre de compte'!AA86+'Livre de compte'!AA103+'Livre de compte'!AA116+'Livre de compte'!AA129+'Livre de compte'!AA146+'Livre de compte'!AA159+'Livre de compte'!AA172)</f>
        <v>0</v>
      </c>
      <c r="Q8" s="234"/>
      <c r="R8" s="234"/>
    </row>
    <row r="9" spans="1:18" ht="12.75">
      <c r="A9" s="433" t="s">
        <v>311</v>
      </c>
      <c r="B9" s="431"/>
      <c r="C9" s="431"/>
      <c r="D9" s="435"/>
      <c r="E9" s="435"/>
      <c r="F9" s="481"/>
      <c r="G9" s="431">
        <v>1032</v>
      </c>
      <c r="H9" s="431" t="s">
        <v>234</v>
      </c>
      <c r="I9" s="431"/>
      <c r="J9" s="435"/>
      <c r="K9" s="435"/>
      <c r="L9" s="3"/>
      <c r="M9" s="108"/>
      <c r="N9" s="233"/>
      <c r="O9" s="233"/>
      <c r="P9" s="233"/>
      <c r="Q9" s="233"/>
      <c r="R9" s="233"/>
    </row>
    <row r="10" spans="1:18" ht="12.75">
      <c r="A10" s="433"/>
      <c r="B10" s="431"/>
      <c r="C10" s="431"/>
      <c r="D10" s="435"/>
      <c r="E10" s="435"/>
      <c r="F10" s="481"/>
      <c r="G10" s="431">
        <v>1033</v>
      </c>
      <c r="H10" s="431" t="s">
        <v>235</v>
      </c>
      <c r="I10" s="431"/>
      <c r="J10" s="435"/>
      <c r="K10" s="435"/>
      <c r="L10" s="3" t="s">
        <v>230</v>
      </c>
      <c r="M10" s="108"/>
      <c r="N10" s="234"/>
      <c r="O10" s="233">
        <f>Prévisionnel!N41</f>
        <v>0</v>
      </c>
      <c r="P10" s="233">
        <f>-('Livre de compte'!AB17+'Livre de compte'!AB30+'Livre de compte'!AB43+'Livre de compte'!AB60+'Livre de compte'!AB73+'Livre de compte'!AB86+'Livre de compte'!AB103+'Livre de compte'!AB116+'Livre de compte'!AB129+'Livre de compte'!AB146+'Livre de compte'!AB159+'Livre de compte'!AB172)</f>
        <v>0</v>
      </c>
      <c r="Q10" s="234"/>
      <c r="R10" s="234"/>
    </row>
    <row r="11" spans="1:18" ht="12.75">
      <c r="A11" s="433"/>
      <c r="B11" s="431"/>
      <c r="C11" s="431"/>
      <c r="D11" s="435"/>
      <c r="E11" s="435"/>
      <c r="F11" s="481"/>
      <c r="G11" s="431"/>
      <c r="H11" s="431"/>
      <c r="I11" s="431"/>
      <c r="J11" s="435"/>
      <c r="K11" s="435"/>
      <c r="L11" s="3"/>
      <c r="M11" s="108"/>
      <c r="N11" s="233"/>
      <c r="O11" s="233"/>
      <c r="P11" s="233"/>
      <c r="Q11" s="233"/>
      <c r="R11" s="233"/>
    </row>
    <row r="12" spans="1:18" ht="12.75">
      <c r="A12" s="433"/>
      <c r="B12" s="431"/>
      <c r="C12" s="431"/>
      <c r="D12" s="435"/>
      <c r="E12" s="435"/>
      <c r="F12" s="481"/>
      <c r="G12" s="431"/>
      <c r="H12" s="431"/>
      <c r="I12" s="431"/>
      <c r="J12" s="435"/>
      <c r="K12" s="435"/>
      <c r="L12" s="3" t="s">
        <v>338</v>
      </c>
      <c r="M12" s="108"/>
      <c r="N12" s="234"/>
      <c r="O12" s="233">
        <f>Prévisionnel!O41</f>
        <v>0</v>
      </c>
      <c r="P12" s="233">
        <f>-('Livre de compte'!AC17+'Livre de compte'!AC30+'Livre de compte'!AC43+'Livre de compte'!AC60+'Livre de compte'!AC73+'Livre de compte'!AC86+'Livre de compte'!AC103+'Livre de compte'!AC116+'Livre de compte'!AC129+'Livre de compte'!AC146+'Livre de compte'!AC159+'Livre de compte'!AC172)</f>
        <v>0</v>
      </c>
      <c r="Q12" s="234"/>
      <c r="R12" s="234"/>
    </row>
    <row r="13" spans="1:18" ht="12.75">
      <c r="A13" s="433"/>
      <c r="B13" s="431"/>
      <c r="C13" s="431"/>
      <c r="D13" s="435"/>
      <c r="E13" s="435"/>
      <c r="F13" s="481"/>
      <c r="G13" s="431"/>
      <c r="H13" s="431"/>
      <c r="I13" s="431"/>
      <c r="J13" s="435"/>
      <c r="K13" s="435"/>
      <c r="L13" s="3"/>
      <c r="M13" s="108"/>
      <c r="N13" s="233"/>
      <c r="O13" s="233"/>
      <c r="P13" s="233"/>
      <c r="Q13" s="233"/>
      <c r="R13" s="233"/>
    </row>
    <row r="14" spans="1:18" ht="12.75">
      <c r="A14" s="433"/>
      <c r="B14" s="431"/>
      <c r="C14" s="431"/>
      <c r="D14" s="435"/>
      <c r="E14" s="435"/>
      <c r="F14" s="481"/>
      <c r="G14" s="431"/>
      <c r="H14" s="431"/>
      <c r="I14" s="431"/>
      <c r="J14" s="435"/>
      <c r="K14" s="435"/>
      <c r="L14" s="3" t="s">
        <v>392</v>
      </c>
      <c r="M14" s="108"/>
      <c r="N14" s="234"/>
      <c r="O14" s="233">
        <f>Prévisionnel!P41</f>
        <v>0</v>
      </c>
      <c r="P14" s="233">
        <f>-('Livre de compte'!AD17+'Livre de compte'!AD30+'Livre de compte'!AD43+'Livre de compte'!AD60+'Livre de compte'!AD73+'Livre de compte'!AD86+'Livre de compte'!AD103+'Livre de compte'!AD116+'Livre de compte'!AD129+'Livre de compte'!AD146+'Livre de compte'!AD159+'Livre de compte'!AD172)</f>
        <v>0</v>
      </c>
      <c r="Q14" s="234"/>
      <c r="R14" s="234"/>
    </row>
    <row r="15" spans="1:18" ht="12.75">
      <c r="A15" s="436"/>
      <c r="B15" s="431"/>
      <c r="C15" s="431"/>
      <c r="D15" s="435"/>
      <c r="E15" s="435"/>
      <c r="F15" s="481"/>
      <c r="G15" s="431"/>
      <c r="H15" s="431"/>
      <c r="I15" s="431"/>
      <c r="J15" s="435"/>
      <c r="K15" s="435"/>
      <c r="L15" s="3"/>
      <c r="M15" s="108"/>
      <c r="N15" s="233"/>
      <c r="O15" s="233"/>
      <c r="P15" s="233"/>
      <c r="Q15" s="233"/>
      <c r="R15" s="233"/>
    </row>
    <row r="16" spans="1:18" ht="12.75">
      <c r="A16" s="437" t="s">
        <v>201</v>
      </c>
      <c r="B16" s="438"/>
      <c r="C16" s="439"/>
      <c r="D16" s="440">
        <f>SUM(D5:D15)</f>
        <v>0</v>
      </c>
      <c r="E16" s="440">
        <f>SUM(E5:E15)</f>
        <v>0</v>
      </c>
      <c r="F16" s="482"/>
      <c r="G16" s="438" t="s">
        <v>201</v>
      </c>
      <c r="H16" s="438"/>
      <c r="I16" s="439"/>
      <c r="J16" s="440">
        <f>SUM(J5:J15)</f>
        <v>0</v>
      </c>
      <c r="K16" s="440">
        <f>SUM(K5:K15)</f>
        <v>0</v>
      </c>
      <c r="L16" s="3" t="s">
        <v>246</v>
      </c>
      <c r="M16" s="108"/>
      <c r="N16" s="234"/>
      <c r="O16" s="233">
        <f>Prévisionnel!Q41</f>
        <v>0</v>
      </c>
      <c r="P16" s="233">
        <f>-('Livre de compte'!AE17+'Livre de compte'!AE30+'Livre de compte'!AE43+'Livre de compte'!AE60+'Livre de compte'!AE73+'Livre de compte'!AE86+'Livre de compte'!AE103+'Livre de compte'!AE116+'Livre de compte'!AE129+'Livre de compte'!AE146+'Livre de compte'!AE159+'Livre de compte'!AE172)</f>
        <v>0</v>
      </c>
      <c r="Q16" s="234"/>
      <c r="R16" s="234"/>
    </row>
    <row r="17" spans="12:18" ht="12.75">
      <c r="L17" s="4"/>
      <c r="M17" s="5"/>
      <c r="N17" s="235"/>
      <c r="O17" s="235"/>
      <c r="P17" s="235"/>
      <c r="Q17" s="235"/>
      <c r="R17" s="235"/>
    </row>
    <row r="18" spans="1:18" ht="12.75">
      <c r="A18" s="460"/>
      <c r="B18" s="461"/>
      <c r="C18" s="462" t="s">
        <v>202</v>
      </c>
      <c r="D18" s="461"/>
      <c r="E18" s="463"/>
      <c r="F18" s="91"/>
      <c r="G18" s="443"/>
      <c r="H18" s="444"/>
      <c r="I18" s="445" t="s">
        <v>203</v>
      </c>
      <c r="J18" s="444"/>
      <c r="K18" s="446"/>
      <c r="L18" s="143" t="s">
        <v>47</v>
      </c>
      <c r="M18" s="6"/>
      <c r="N18" s="236">
        <f>SUM(N6:N17)</f>
        <v>0</v>
      </c>
      <c r="O18" s="236">
        <f>SUM(O6:O17)</f>
        <v>0</v>
      </c>
      <c r="P18" s="236">
        <f>SUM(P6:P17)</f>
        <v>0</v>
      </c>
      <c r="Q18" s="236">
        <f>SUM(Q6:Q17)</f>
        <v>0</v>
      </c>
      <c r="R18" s="236">
        <f>SUM(R6:R17)</f>
        <v>0</v>
      </c>
    </row>
    <row r="19" spans="1:18" ht="38.25">
      <c r="A19" s="464" t="s">
        <v>380</v>
      </c>
      <c r="B19" s="465"/>
      <c r="C19" s="466"/>
      <c r="D19" s="467" t="s">
        <v>49</v>
      </c>
      <c r="E19" s="467" t="s">
        <v>22</v>
      </c>
      <c r="G19" s="447" t="s">
        <v>400</v>
      </c>
      <c r="H19" s="448"/>
      <c r="I19" s="449"/>
      <c r="J19" s="479" t="s">
        <v>49</v>
      </c>
      <c r="K19" s="450" t="s">
        <v>22</v>
      </c>
      <c r="L19" s="124" t="s">
        <v>439</v>
      </c>
      <c r="M19" s="125" t="s">
        <v>455</v>
      </c>
      <c r="N19" s="237"/>
      <c r="O19" s="242"/>
      <c r="P19" s="237">
        <f>O18-P18</f>
        <v>0</v>
      </c>
      <c r="Q19" s="242"/>
      <c r="R19" s="242"/>
    </row>
    <row r="20" spans="1:18" ht="12.75">
      <c r="A20" s="468"/>
      <c r="B20" s="469"/>
      <c r="C20" s="469"/>
      <c r="D20" s="470"/>
      <c r="E20" s="471"/>
      <c r="F20" s="101"/>
      <c r="G20" s="452" t="s">
        <v>232</v>
      </c>
      <c r="H20" s="452"/>
      <c r="I20" s="452"/>
      <c r="J20" s="453"/>
      <c r="K20" s="453"/>
      <c r="L20" s="144" t="s">
        <v>319</v>
      </c>
      <c r="M20" s="105"/>
      <c r="N20" s="238">
        <f>N18+N19</f>
        <v>0</v>
      </c>
      <c r="O20" s="238">
        <f>O18</f>
        <v>0</v>
      </c>
      <c r="P20" s="238">
        <f>P18</f>
        <v>0</v>
      </c>
      <c r="Q20" s="238">
        <f>Q18+Q19</f>
        <v>0</v>
      </c>
      <c r="R20" s="238">
        <f>R18+R19</f>
        <v>0</v>
      </c>
    </row>
    <row r="21" spans="1:18" ht="12.75">
      <c r="A21" s="468"/>
      <c r="B21" s="469"/>
      <c r="C21" s="469"/>
      <c r="D21" s="472"/>
      <c r="E21" s="471"/>
      <c r="F21" s="101"/>
      <c r="G21" s="452"/>
      <c r="H21" s="452"/>
      <c r="I21" s="452"/>
      <c r="J21" s="454"/>
      <c r="K21" s="454"/>
      <c r="L21" s="121" t="s">
        <v>266</v>
      </c>
      <c r="M21" s="92"/>
      <c r="N21" s="239"/>
      <c r="O21" s="239"/>
      <c r="P21" s="240"/>
      <c r="Q21" s="216"/>
      <c r="R21" s="216"/>
    </row>
    <row r="22" spans="1:18" ht="12.75">
      <c r="A22" s="468" t="s">
        <v>133</v>
      </c>
      <c r="B22" s="469"/>
      <c r="C22" s="469"/>
      <c r="D22" s="472"/>
      <c r="E22" s="471"/>
      <c r="F22" s="101"/>
      <c r="G22" s="452" t="s">
        <v>164</v>
      </c>
      <c r="H22" s="452"/>
      <c r="I22" s="452"/>
      <c r="J22" s="454"/>
      <c r="K22" s="454"/>
      <c r="L22" s="3" t="s">
        <v>60</v>
      </c>
      <c r="N22" s="234"/>
      <c r="O22" s="233">
        <f>Prévisionnel!R41</f>
        <v>0</v>
      </c>
      <c r="P22" s="233">
        <f>-('Livre de compte'!AF17+'Livre de compte'!AF30+'Livre de compte'!AF43+'Livre de compte'!AF60+'Livre de compte'!AF73+'Livre de compte'!AF86+'Livre de compte'!AF103+'Livre de compte'!AF116+'Livre de compte'!AF129+'Livre de compte'!AF146+'Livre de compte'!AF159+'Livre de compte'!AF172)</f>
        <v>0</v>
      </c>
      <c r="Q22" s="216"/>
      <c r="R22" s="216"/>
    </row>
    <row r="23" spans="1:18" ht="12.75">
      <c r="A23" s="468"/>
      <c r="B23" s="469"/>
      <c r="C23" s="469"/>
      <c r="D23" s="472"/>
      <c r="E23" s="471"/>
      <c r="F23" s="101"/>
      <c r="G23" s="452"/>
      <c r="H23" s="452"/>
      <c r="I23" s="452"/>
      <c r="J23" s="454"/>
      <c r="K23" s="454"/>
      <c r="L23" s="3"/>
      <c r="N23" s="233"/>
      <c r="O23" s="233"/>
      <c r="P23" s="233"/>
      <c r="Q23" s="216"/>
      <c r="R23" s="216"/>
    </row>
    <row r="24" spans="1:18" ht="12.75">
      <c r="A24" s="468" t="s">
        <v>276</v>
      </c>
      <c r="B24" s="473"/>
      <c r="C24" s="474"/>
      <c r="D24" s="472"/>
      <c r="E24" s="472"/>
      <c r="G24" s="451" t="s">
        <v>216</v>
      </c>
      <c r="H24" s="455"/>
      <c r="I24" s="456"/>
      <c r="J24" s="454"/>
      <c r="K24" s="454"/>
      <c r="L24" s="3" t="s">
        <v>264</v>
      </c>
      <c r="N24" s="234"/>
      <c r="O24" s="233">
        <f>Prévisionnel!S41</f>
        <v>0</v>
      </c>
      <c r="P24" s="233">
        <f>-('Livre de compte'!AG17+'Livre de compte'!AG30+'Livre de compte'!AG43+'Livre de compte'!AG60+'Livre de compte'!AG73+'Livre de compte'!AG86+'Livre de compte'!AG103+'Livre de compte'!AG116+'Livre de compte'!AG129+'Livre de compte'!AG146+'Livre de compte'!AG159+'Livre de compte'!AG172)</f>
        <v>0</v>
      </c>
      <c r="Q24" s="216"/>
      <c r="R24" s="216"/>
    </row>
    <row r="25" spans="1:18" ht="12.75">
      <c r="A25" s="468">
        <v>451</v>
      </c>
      <c r="B25" s="473" t="s">
        <v>52</v>
      </c>
      <c r="C25" s="475" t="str">
        <f>Copropriété!C6</f>
        <v>ATCHOUM</v>
      </c>
      <c r="D25" s="472">
        <f>ROUND(IF('Comptes Lots'!B4&lt;=0,-('Comptes Lots'!B4),0),2)</f>
        <v>0</v>
      </c>
      <c r="E25" s="472">
        <f>ROUND(IF('Comptes Lots'!C22&lt;=0,-('Comptes Lots'!C22),0),2)</f>
        <v>0</v>
      </c>
      <c r="G25" s="451">
        <v>451</v>
      </c>
      <c r="H25" s="455" t="s">
        <v>52</v>
      </c>
      <c r="I25" s="456" t="str">
        <f>Copropriété!C6</f>
        <v>ATCHOUM</v>
      </c>
      <c r="J25" s="454">
        <f>ROUND(IF('Comptes Lots'!B4&gt;=0,'Comptes Lots'!B4,0),2)</f>
        <v>0</v>
      </c>
      <c r="K25" s="454">
        <f>ROUND(IF('Comptes Lots'!C22&gt;=0,'Comptes Lots'!C22,0),2)</f>
        <v>0</v>
      </c>
      <c r="L25" s="3" t="s">
        <v>204</v>
      </c>
      <c r="N25" s="234"/>
      <c r="O25" s="233">
        <f>Prévisionnel!T41</f>
        <v>0</v>
      </c>
      <c r="P25" s="233">
        <f>-('Livre de compte'!AH17+'Livre de compte'!AH30+'Livre de compte'!AH43+'Livre de compte'!AH60+'Livre de compte'!AH73+'Livre de compte'!AH86+'Livre de compte'!AH103+'Livre de compte'!AH116+'Livre de compte'!AH129+'Livre de compte'!AH146+'Livre de compte'!AH159+'Livre de compte'!AH172)</f>
        <v>0</v>
      </c>
      <c r="Q25" s="216"/>
      <c r="R25" s="216"/>
    </row>
    <row r="26" spans="1:18" ht="12.75">
      <c r="A26" s="468">
        <v>452</v>
      </c>
      <c r="B26" s="473" t="s">
        <v>408</v>
      </c>
      <c r="C26" s="474" t="str">
        <f>Copropriété!C11</f>
        <v>ATCHOUM</v>
      </c>
      <c r="D26" s="472">
        <f>ROUND(IF('Comptes Lots'!B27&lt;=0,-('Comptes Lots'!B27),0),2)</f>
        <v>0</v>
      </c>
      <c r="E26" s="472">
        <f>ROUND(IF('Comptes Lots'!C45&lt;=0,-('Comptes Lots'!C45),0),2)</f>
        <v>0</v>
      </c>
      <c r="G26" s="451">
        <v>452</v>
      </c>
      <c r="H26" s="455" t="s">
        <v>408</v>
      </c>
      <c r="I26" s="456" t="str">
        <f>Copropriété!C11</f>
        <v>ATCHOUM</v>
      </c>
      <c r="J26" s="454">
        <f>ROUND(IF('Comptes Lots'!B27&gt;=0,'Comptes Lots'!B27,0),2)</f>
        <v>0</v>
      </c>
      <c r="K26" s="454">
        <f>ROUND(IF('Comptes Lots'!C45&gt;=0,'Comptes Lots'!C45,0),2)</f>
        <v>0</v>
      </c>
      <c r="L26" s="3" t="s">
        <v>179</v>
      </c>
      <c r="N26" s="234"/>
      <c r="O26" s="233">
        <f>Prévisionnel!U41</f>
        <v>0</v>
      </c>
      <c r="P26" s="233">
        <f>-('Livre de compte'!AI17+'Livre de compte'!AI30+'Livre de compte'!AI43+'Livre de compte'!AI60+'Livre de compte'!AI73+'Livre de compte'!AI86+'Livre de compte'!AI103+'Livre de compte'!AI116+'Livre de compte'!AI129+'Livre de compte'!AI146+'Livre de compte'!AI159+'Livre de compte'!AI172)</f>
        <v>0</v>
      </c>
      <c r="Q26" s="216"/>
      <c r="R26" s="216"/>
    </row>
    <row r="27" spans="1:18" ht="12.75">
      <c r="A27" s="468">
        <v>453</v>
      </c>
      <c r="B27" s="473" t="s">
        <v>53</v>
      </c>
      <c r="C27" s="474" t="str">
        <f>Copropriété!C16</f>
        <v>GRINCHEUX</v>
      </c>
      <c r="D27" s="472">
        <f>ROUND(IF('Comptes Lots'!B50&lt;=0,-('Comptes Lots'!B50),0),2)</f>
        <v>0</v>
      </c>
      <c r="E27" s="472">
        <f>ROUND(IF('Comptes Lots'!C68&lt;=0,-('Comptes Lots'!C68),0),2)</f>
        <v>0</v>
      </c>
      <c r="F27" s="101"/>
      <c r="G27" s="451">
        <v>453</v>
      </c>
      <c r="H27" s="455" t="s">
        <v>53</v>
      </c>
      <c r="I27" s="456" t="str">
        <f>Copropriété!C16</f>
        <v>GRINCHEUX</v>
      </c>
      <c r="J27" s="454">
        <f>ROUND(IF('Comptes Lots'!B50&gt;=0,'Comptes Lots'!B50,0),2)</f>
        <v>0</v>
      </c>
      <c r="K27" s="454">
        <f>ROUND(IF('Comptes Lots'!C68&gt;=0,'Comptes Lots'!C68,0),2)</f>
        <v>0</v>
      </c>
      <c r="L27" s="3"/>
      <c r="N27" s="233"/>
      <c r="O27" s="233"/>
      <c r="P27" s="233"/>
      <c r="Q27" s="216"/>
      <c r="R27" s="216"/>
    </row>
    <row r="28" spans="1:18" ht="12.75">
      <c r="A28" s="468">
        <v>454</v>
      </c>
      <c r="B28" s="473" t="s">
        <v>300</v>
      </c>
      <c r="C28" s="474" t="str">
        <f>Copropriété!C21</f>
        <v>SIMPLET</v>
      </c>
      <c r="D28" s="472">
        <f>ROUND(IF('Comptes Lots'!B73&lt;=0,-('Comptes Lots'!B73),0),2)</f>
        <v>0</v>
      </c>
      <c r="E28" s="472">
        <f>ROUND(IF('Comptes Lots'!C91&lt;=0,-('Comptes Lots'!C91),0),2)</f>
        <v>0</v>
      </c>
      <c r="G28" s="451">
        <v>454</v>
      </c>
      <c r="H28" s="455" t="s">
        <v>300</v>
      </c>
      <c r="I28" s="456" t="str">
        <f>Copropriété!C21</f>
        <v>SIMPLET</v>
      </c>
      <c r="J28" s="454">
        <f>ROUND(IF('Comptes Lots'!B73&gt;=0,'Comptes Lots'!B73,0),2)</f>
        <v>0</v>
      </c>
      <c r="K28" s="454">
        <f>ROUND(IF('Comptes Lots'!C91&gt;=0,'Comptes Lots'!C91,0),2)</f>
        <v>0</v>
      </c>
      <c r="L28" s="3" t="s">
        <v>77</v>
      </c>
      <c r="N28" s="234"/>
      <c r="O28" s="233">
        <f>Prévisionnel!V41</f>
        <v>0</v>
      </c>
      <c r="P28" s="233">
        <f>-('Livre de compte'!AJ17+'Livre de compte'!AJ30+'Livre de compte'!AJ43+'Livre de compte'!AJ60+'Livre de compte'!AJ73+'Livre de compte'!AJ86+'Livre de compte'!AJ103+'Livre de compte'!AJ116+'Livre de compte'!AJ129+'Livre de compte'!AJ146+'Livre de compte'!AJ159+'Livre de compte'!AJ172)</f>
        <v>0</v>
      </c>
      <c r="Q28" s="216"/>
      <c r="R28" s="216"/>
    </row>
    <row r="29" spans="1:18" ht="12.75">
      <c r="A29" s="468">
        <v>455</v>
      </c>
      <c r="B29" s="473" t="s">
        <v>209</v>
      </c>
      <c r="C29" s="474" t="str">
        <f>Copropriété!C26</f>
        <v>DORMEUR</v>
      </c>
      <c r="D29" s="472">
        <f>ROUND(IF('Comptes Lots'!B96&lt;=0,-('Comptes Lots'!B96),0),2)</f>
        <v>0</v>
      </c>
      <c r="E29" s="472">
        <f>ROUND(IF('Comptes Lots'!C114&lt;=0,-('Comptes Lots'!C114),0),2)</f>
        <v>0</v>
      </c>
      <c r="G29" s="451">
        <v>455</v>
      </c>
      <c r="H29" s="455" t="s">
        <v>209</v>
      </c>
      <c r="I29" s="456" t="str">
        <f>Copropriété!C26</f>
        <v>DORMEUR</v>
      </c>
      <c r="J29" s="454">
        <f>ROUND(IF('Comptes Lots'!B96&gt;=0,'Comptes Lots'!B96,0),2)</f>
        <v>0</v>
      </c>
      <c r="K29" s="454">
        <f>ROUND(IF('Comptes Lots'!C114&gt;=0,'Comptes Lots'!C114,0),2)</f>
        <v>0</v>
      </c>
      <c r="L29" s="3"/>
      <c r="N29" s="233"/>
      <c r="O29" s="233"/>
      <c r="P29" s="233"/>
      <c r="Q29" s="216"/>
      <c r="R29" s="216"/>
    </row>
    <row r="30" spans="1:18" ht="12.75">
      <c r="A30" s="468">
        <v>456</v>
      </c>
      <c r="B30" s="473" t="s">
        <v>469</v>
      </c>
      <c r="C30" s="474" t="str">
        <f>Copropriété!C31</f>
        <v>PROF</v>
      </c>
      <c r="D30" s="472">
        <f>ROUND(IF('Comptes Lots'!B119&lt;=0,-('Comptes Lots'!B119),0),2)</f>
        <v>0</v>
      </c>
      <c r="E30" s="472">
        <f>ROUND(IF('Comptes Lots'!C137&lt;=0,-('Comptes Lots'!C137),0),2)</f>
        <v>0</v>
      </c>
      <c r="G30" s="451">
        <v>456</v>
      </c>
      <c r="H30" s="455" t="s">
        <v>469</v>
      </c>
      <c r="I30" s="456" t="str">
        <f>Copropriété!C31</f>
        <v>PROF</v>
      </c>
      <c r="J30" s="454">
        <f>ROUND(IF('Comptes Lots'!B119&gt;=0,'Comptes Lots'!B119,0),2)</f>
        <v>0</v>
      </c>
      <c r="K30" s="454">
        <f>ROUND(IF('Comptes Lots'!C137&gt;=0,'Comptes Lots'!C137,0),2)</f>
        <v>0</v>
      </c>
      <c r="L30" s="3"/>
      <c r="N30" s="233"/>
      <c r="O30" s="233"/>
      <c r="P30" s="233"/>
      <c r="Q30" s="216"/>
      <c r="R30" s="216"/>
    </row>
    <row r="31" spans="1:18" ht="12.75">
      <c r="A31" s="468">
        <v>457</v>
      </c>
      <c r="B31" s="473" t="s">
        <v>470</v>
      </c>
      <c r="C31" s="474" t="str">
        <f>Copropriété!C36</f>
        <v>TIMIDE</v>
      </c>
      <c r="D31" s="472">
        <f>ROUND(IF('Comptes Lots'!B142&lt;=0,-('Comptes Lots'!B142),0),2)</f>
        <v>0</v>
      </c>
      <c r="E31" s="472">
        <f>ROUND(IF('Comptes Lots'!C160&lt;=0,-('Comptes Lots'!C160),0),2)</f>
        <v>0</v>
      </c>
      <c r="G31" s="451">
        <v>457</v>
      </c>
      <c r="H31" s="455" t="s">
        <v>470</v>
      </c>
      <c r="I31" s="456" t="str">
        <f>Copropriété!C36</f>
        <v>TIMIDE</v>
      </c>
      <c r="J31" s="454">
        <f>ROUND(IF('Comptes Lots'!B142&gt;=0,'Comptes Lots'!B142,0),2)</f>
        <v>0</v>
      </c>
      <c r="K31" s="454">
        <f>ROUND(IF('Comptes Lots'!C160&gt;=0,'Comptes Lots'!C160,0),2)</f>
        <v>0</v>
      </c>
      <c r="L31" s="3"/>
      <c r="N31" s="233"/>
      <c r="O31" s="233"/>
      <c r="P31" s="233"/>
      <c r="Q31" s="216"/>
      <c r="R31" s="216"/>
    </row>
    <row r="32" spans="1:18" ht="12.75">
      <c r="A32" s="468">
        <v>458</v>
      </c>
      <c r="B32" s="473" t="s">
        <v>43</v>
      </c>
      <c r="C32" s="474">
        <f>Copropriété!C63</f>
        <v>0</v>
      </c>
      <c r="D32" s="472">
        <f>ROUND(IF('Comptes Lots'!B165&lt;=0,-('Comptes Lots'!B165),0),2)</f>
        <v>0</v>
      </c>
      <c r="E32" s="472">
        <f>ROUND(IF('Comptes Lots'!C183&lt;=0,-('Comptes Lots'!C183),0),2)</f>
        <v>0</v>
      </c>
      <c r="G32" s="451">
        <v>458</v>
      </c>
      <c r="H32" s="455" t="s">
        <v>43</v>
      </c>
      <c r="I32" s="456">
        <f>Copropriété!C63</f>
        <v>0</v>
      </c>
      <c r="J32" s="454">
        <f>ROUND(IF('Comptes Lots'!B165&gt;=0,'Comptes Lots'!B165,0),2)</f>
        <v>0</v>
      </c>
      <c r="K32" s="454">
        <f>ROUND(IF('Comptes Lots'!C183&gt;=0,'Comptes Lots'!C183,0),2)</f>
        <v>0</v>
      </c>
      <c r="L32" s="3"/>
      <c r="N32" s="233"/>
      <c r="O32" s="233"/>
      <c r="P32" s="233"/>
      <c r="Q32" s="216"/>
      <c r="R32" s="216"/>
    </row>
    <row r="33" spans="1:18" ht="12.75">
      <c r="A33" s="468"/>
      <c r="B33" s="473"/>
      <c r="C33" s="474"/>
      <c r="D33" s="472"/>
      <c r="E33" s="472"/>
      <c r="G33" s="451"/>
      <c r="H33" s="455"/>
      <c r="I33" s="456"/>
      <c r="J33" s="454"/>
      <c r="K33" s="454"/>
      <c r="L33" s="3" t="s">
        <v>67</v>
      </c>
      <c r="N33" s="234"/>
      <c r="O33" s="233">
        <f>Prévisionnel!W41</f>
        <v>0</v>
      </c>
      <c r="P33" s="233">
        <f>-('Livre de compte'!AK17+'Livre de compte'!AK30+'Livre de compte'!AK43+'Livre de compte'!AK60+'Livre de compte'!AK73+'Livre de compte'!AK86+'Livre de compte'!AK103+'Livre de compte'!AK116+'Livre de compte'!AK129+'Livre de compte'!AK146+'Livre de compte'!AK159+'Livre de compte'!AK172)</f>
        <v>0</v>
      </c>
      <c r="Q33" s="216"/>
      <c r="R33" s="216"/>
    </row>
    <row r="34" spans="1:18" ht="12.75">
      <c r="A34" s="468">
        <v>459</v>
      </c>
      <c r="B34" s="473" t="s">
        <v>44</v>
      </c>
      <c r="C34" s="474"/>
      <c r="D34" s="472"/>
      <c r="E34" s="472"/>
      <c r="G34" s="451"/>
      <c r="H34" s="455"/>
      <c r="I34" s="456"/>
      <c r="J34" s="454"/>
      <c r="K34" s="454"/>
      <c r="L34" s="3"/>
      <c r="N34" s="233"/>
      <c r="O34" s="233"/>
      <c r="P34" s="233"/>
      <c r="Q34" s="216"/>
      <c r="R34" s="216"/>
    </row>
    <row r="35" spans="1:18" ht="12.75">
      <c r="A35" s="468"/>
      <c r="B35" s="473" t="s">
        <v>48</v>
      </c>
      <c r="C35" s="474"/>
      <c r="D35" s="472"/>
      <c r="E35" s="472"/>
      <c r="G35" s="451"/>
      <c r="H35" s="455"/>
      <c r="I35" s="456"/>
      <c r="J35" s="454"/>
      <c r="K35" s="454"/>
      <c r="L35" s="3"/>
      <c r="N35" s="233"/>
      <c r="O35" s="233"/>
      <c r="P35" s="233"/>
      <c r="Q35" s="216"/>
      <c r="R35" s="216"/>
    </row>
    <row r="36" spans="1:18" ht="12.75">
      <c r="A36" s="476" t="s">
        <v>199</v>
      </c>
      <c r="B36" s="462"/>
      <c r="C36" s="477"/>
      <c r="D36" s="478">
        <f>SUM(D25:D35)</f>
        <v>0</v>
      </c>
      <c r="E36" s="478">
        <f>SUM(E25:E35)</f>
        <v>0</v>
      </c>
      <c r="F36" s="141"/>
      <c r="G36" s="457" t="s">
        <v>199</v>
      </c>
      <c r="H36" s="445"/>
      <c r="I36" s="458"/>
      <c r="J36" s="459">
        <f>SUM(J20:J35)</f>
        <v>0</v>
      </c>
      <c r="K36" s="459">
        <f>SUM(K20:K35)</f>
        <v>0</v>
      </c>
      <c r="L36" s="3"/>
      <c r="N36" s="233"/>
      <c r="O36" s="233"/>
      <c r="P36" s="233"/>
      <c r="Q36" s="216"/>
      <c r="R36" s="216"/>
    </row>
    <row r="37" spans="1:18" ht="12.75">
      <c r="A37" s="476" t="s">
        <v>223</v>
      </c>
      <c r="B37" s="462"/>
      <c r="C37" s="462"/>
      <c r="D37" s="478">
        <f>D16+D36</f>
        <v>0</v>
      </c>
      <c r="E37" s="478">
        <f>E16+E36</f>
        <v>0</v>
      </c>
      <c r="F37" s="142"/>
      <c r="G37" s="445" t="s">
        <v>223</v>
      </c>
      <c r="H37" s="445"/>
      <c r="I37" s="445"/>
      <c r="J37" s="459">
        <f>J16+J36</f>
        <v>0</v>
      </c>
      <c r="K37" s="459">
        <f>K16+K36</f>
        <v>0</v>
      </c>
      <c r="L37" s="121" t="s">
        <v>23</v>
      </c>
      <c r="M37" s="105"/>
      <c r="N37" s="238">
        <f>SUM(N24:N36)</f>
        <v>0</v>
      </c>
      <c r="O37" s="238">
        <f>SUM(O24:O36)</f>
        <v>0</v>
      </c>
      <c r="P37" s="238">
        <f>SUM(P24:P36)</f>
        <v>0</v>
      </c>
      <c r="Q37" s="216"/>
      <c r="R37" s="216"/>
    </row>
    <row r="38" spans="7:18" ht="12.75">
      <c r="G38" s="443" t="s">
        <v>401</v>
      </c>
      <c r="H38" s="444" t="s">
        <v>402</v>
      </c>
      <c r="I38" s="444"/>
      <c r="J38" s="446"/>
      <c r="K38" s="332"/>
      <c r="L38" s="121" t="s">
        <v>199</v>
      </c>
      <c r="M38" s="139"/>
      <c r="N38" s="236">
        <f>N20+N37</f>
        <v>0</v>
      </c>
      <c r="O38" s="236">
        <f>O20+O37</f>
        <v>0</v>
      </c>
      <c r="P38" s="236">
        <f>P20+P37</f>
        <v>0</v>
      </c>
      <c r="Q38" s="216"/>
      <c r="R38" s="216"/>
    </row>
    <row r="39" spans="1:20" ht="15.75">
      <c r="A39" s="120" t="s">
        <v>31</v>
      </c>
      <c r="F39" s="12" t="s">
        <v>26</v>
      </c>
      <c r="H39" s="62">
        <f>Copropriété!B2</f>
        <v>2015</v>
      </c>
      <c r="K39" s="119" t="s">
        <v>372</v>
      </c>
      <c r="L39" s="120" t="s">
        <v>31</v>
      </c>
      <c r="M39" s="8"/>
      <c r="O39" s="10" t="s">
        <v>26</v>
      </c>
      <c r="Q39" s="62">
        <f>Copropriété!B2</f>
        <v>2015</v>
      </c>
      <c r="T39" s="119" t="s">
        <v>328</v>
      </c>
    </row>
    <row r="40" spans="1:20" ht="15">
      <c r="A40" s="120">
        <f>A2</f>
        <v>0</v>
      </c>
      <c r="K40" s="99" t="s">
        <v>331</v>
      </c>
      <c r="L40" s="120">
        <f>A2</f>
        <v>0</v>
      </c>
      <c r="T40" s="99" t="s">
        <v>330</v>
      </c>
    </row>
    <row r="41" spans="1:18" ht="12.75">
      <c r="A41" s="8" t="s">
        <v>373</v>
      </c>
      <c r="K41" s="99"/>
      <c r="L41" s="121" t="s">
        <v>173</v>
      </c>
      <c r="M41" s="92"/>
      <c r="N41" s="92"/>
      <c r="O41" s="92"/>
      <c r="P41" s="92"/>
      <c r="Q41" s="92"/>
      <c r="R41" s="95"/>
    </row>
    <row r="42" spans="1:18" ht="51">
      <c r="A42" s="2"/>
      <c r="B42" s="107"/>
      <c r="C42" s="110" t="s">
        <v>240</v>
      </c>
      <c r="D42" s="100" t="s">
        <v>421</v>
      </c>
      <c r="E42" s="100" t="s">
        <v>265</v>
      </c>
      <c r="F42" s="104"/>
      <c r="G42" s="100" t="s">
        <v>439</v>
      </c>
      <c r="L42" s="2"/>
      <c r="M42" s="107"/>
      <c r="N42" s="102" t="s">
        <v>49</v>
      </c>
      <c r="O42" s="104" t="s">
        <v>242</v>
      </c>
      <c r="P42" s="104" t="s">
        <v>191</v>
      </c>
      <c r="Q42" s="104" t="s">
        <v>157</v>
      </c>
      <c r="R42" s="104" t="s">
        <v>284</v>
      </c>
    </row>
    <row r="43" spans="1:18" ht="12.75">
      <c r="A43" s="3"/>
      <c r="B43" s="108"/>
      <c r="C43" s="109"/>
      <c r="D43" s="94" t="s">
        <v>208</v>
      </c>
      <c r="E43" s="92"/>
      <c r="F43" s="126"/>
      <c r="G43" s="95">
        <f>Copropriété!B2</f>
        <v>2015</v>
      </c>
      <c r="L43" s="3"/>
      <c r="M43" s="108"/>
      <c r="N43" s="130">
        <f>Copropriété!B2-1</f>
        <v>2014</v>
      </c>
      <c r="O43" s="130">
        <f>Copropriété!B2</f>
        <v>2015</v>
      </c>
      <c r="P43" s="130">
        <f>Copropriété!B2</f>
        <v>2015</v>
      </c>
      <c r="Q43" s="130">
        <f>Copropriété!B2+1</f>
        <v>2016</v>
      </c>
      <c r="R43" s="130">
        <f>Copropriété!B2+2</f>
        <v>2017</v>
      </c>
    </row>
    <row r="44" spans="1:18" ht="12.75">
      <c r="A44" s="3"/>
      <c r="B44" s="108"/>
      <c r="C44" s="91"/>
      <c r="D44" s="91"/>
      <c r="E44" s="91"/>
      <c r="F44" s="91"/>
      <c r="G44" s="91"/>
      <c r="L44" s="3" t="s">
        <v>80</v>
      </c>
      <c r="M44" s="108"/>
      <c r="N44" s="231"/>
      <c r="O44" s="232">
        <f>Prévisionnel!L51</f>
        <v>0</v>
      </c>
      <c r="P44" s="232">
        <f>Prévisionnel!I45+Prévisionnel!I46</f>
        <v>0</v>
      </c>
      <c r="Q44" s="231"/>
      <c r="R44" s="231"/>
    </row>
    <row r="45" spans="1:18" ht="12.75">
      <c r="A45" s="3" t="s">
        <v>163</v>
      </c>
      <c r="B45" s="108"/>
      <c r="C45" s="228">
        <f>Prévisionnel!E47</f>
        <v>0</v>
      </c>
      <c r="D45" s="228">
        <f>Prévisionnel!I38</f>
        <v>0</v>
      </c>
      <c r="E45" s="228">
        <f>Prévisionnel!I47</f>
        <v>0</v>
      </c>
      <c r="F45" s="158"/>
      <c r="G45" s="158">
        <f>D45+E45</f>
        <v>0</v>
      </c>
      <c r="L45" s="3"/>
      <c r="M45" s="108"/>
      <c r="N45" s="233"/>
      <c r="O45" s="233"/>
      <c r="P45" s="233"/>
      <c r="Q45" s="233"/>
      <c r="R45" s="233"/>
    </row>
    <row r="46" spans="1:18" ht="12.75">
      <c r="A46" s="225"/>
      <c r="B46" s="211"/>
      <c r="C46" s="228"/>
      <c r="D46" s="228"/>
      <c r="E46" s="228"/>
      <c r="F46" s="158"/>
      <c r="G46" s="158"/>
      <c r="L46" s="3" t="s">
        <v>81</v>
      </c>
      <c r="M46" s="108"/>
      <c r="N46" s="234"/>
      <c r="O46" s="233">
        <f>Prévisionnel!N51</f>
        <v>0</v>
      </c>
      <c r="P46" s="233">
        <f>'Livre de compte'!AN17+'Livre de compte'!AN30+'Livre de compte'!AN43+'Livre de compte'!AN60+'Livre de compte'!AN73+'Livre de compte'!AN86+'Livre de compte'!AN103+'Livre de compte'!AN116+'Livre de compte'!AN129+'Livre de compte'!AN146+'Livre de compte'!AN159+'Livre de compte'!AN172</f>
        <v>0</v>
      </c>
      <c r="Q46" s="234"/>
      <c r="R46" s="234"/>
    </row>
    <row r="47" spans="1:18" ht="12.75">
      <c r="A47" s="225"/>
      <c r="B47" s="211"/>
      <c r="C47" s="228"/>
      <c r="D47" s="228"/>
      <c r="E47" s="228"/>
      <c r="F47" s="158"/>
      <c r="G47" s="158"/>
      <c r="L47" s="3"/>
      <c r="M47" s="108"/>
      <c r="N47" s="233"/>
      <c r="O47" s="233"/>
      <c r="P47" s="233"/>
      <c r="Q47" s="233"/>
      <c r="R47" s="233"/>
    </row>
    <row r="48" spans="1:18" ht="12.75">
      <c r="A48" s="226"/>
      <c r="B48" s="227"/>
      <c r="C48" s="229"/>
      <c r="D48" s="229"/>
      <c r="E48" s="229"/>
      <c r="F48" s="218"/>
      <c r="G48" s="218"/>
      <c r="L48" s="3" t="s">
        <v>310</v>
      </c>
      <c r="M48" s="108"/>
      <c r="N48" s="234"/>
      <c r="O48" s="233">
        <f>Prévisionnel!O51</f>
        <v>0</v>
      </c>
      <c r="P48" s="233">
        <f>'Livre de compte'!AO17+'Livre de compte'!AO30+'Livre de compte'!AO43+'Livre de compte'!AO60+'Livre de compte'!AO73+'Livre de compte'!AO86+'Livre de compte'!AO103+'Livre de compte'!AO116+'Livre de compte'!AO129+'Livre de compte'!AO146+'Livre de compte'!AO159+'Livre de compte'!AO172</f>
        <v>0</v>
      </c>
      <c r="Q48" s="234"/>
      <c r="R48" s="234"/>
    </row>
    <row r="49" spans="1:18" ht="12.75">
      <c r="A49" s="121" t="s">
        <v>241</v>
      </c>
      <c r="B49" s="139"/>
      <c r="C49" s="230">
        <f>SUM(C44:C48)</f>
        <v>0</v>
      </c>
      <c r="D49" s="230">
        <f>SUM(D44:D48)</f>
        <v>0</v>
      </c>
      <c r="E49" s="230">
        <f>SUM(E44:E48)</f>
        <v>0</v>
      </c>
      <c r="F49" s="230"/>
      <c r="G49" s="230">
        <f>G44+G45+G46+G47+G48</f>
        <v>0</v>
      </c>
      <c r="L49" s="3"/>
      <c r="M49" s="108"/>
      <c r="N49" s="233"/>
      <c r="O49" s="233"/>
      <c r="P49" s="233"/>
      <c r="Q49" s="233"/>
      <c r="R49" s="233"/>
    </row>
    <row r="50" spans="1:18" ht="12.75">
      <c r="A50" s="2"/>
      <c r="B50" s="107"/>
      <c r="C50" s="217"/>
      <c r="D50" s="217"/>
      <c r="E50" s="217"/>
      <c r="F50" s="217"/>
      <c r="G50" s="217"/>
      <c r="L50" s="3"/>
      <c r="M50" s="108"/>
      <c r="N50" s="233"/>
      <c r="O50" s="233"/>
      <c r="P50" s="233"/>
      <c r="Q50" s="233"/>
      <c r="R50" s="233"/>
    </row>
    <row r="51" spans="1:18" ht="12.75">
      <c r="A51" s="3" t="s">
        <v>253</v>
      </c>
      <c r="B51" s="108"/>
      <c r="C51" s="228"/>
      <c r="D51" s="228"/>
      <c r="E51" s="228"/>
      <c r="F51" s="158"/>
      <c r="G51" s="158">
        <f>D51+E51</f>
        <v>0</v>
      </c>
      <c r="L51" s="3"/>
      <c r="M51" s="108"/>
      <c r="N51" s="233"/>
      <c r="O51" s="233"/>
      <c r="P51" s="233"/>
      <c r="Q51" s="233"/>
      <c r="R51" s="233"/>
    </row>
    <row r="52" spans="1:18" ht="12.75">
      <c r="A52" s="225"/>
      <c r="B52" s="211"/>
      <c r="C52" s="228"/>
      <c r="D52" s="228"/>
      <c r="E52" s="228"/>
      <c r="F52" s="158"/>
      <c r="G52" s="158"/>
      <c r="L52" s="3"/>
      <c r="M52" s="108"/>
      <c r="N52" s="233"/>
      <c r="O52" s="233"/>
      <c r="P52" s="233"/>
      <c r="Q52" s="233"/>
      <c r="R52" s="233"/>
    </row>
    <row r="53" spans="1:18" ht="12.75">
      <c r="A53" s="226"/>
      <c r="B53" s="227"/>
      <c r="C53" s="229"/>
      <c r="D53" s="229"/>
      <c r="E53" s="229"/>
      <c r="F53" s="218"/>
      <c r="G53" s="218"/>
      <c r="L53" s="3"/>
      <c r="M53" s="108"/>
      <c r="N53" s="233"/>
      <c r="O53" s="233"/>
      <c r="P53" s="233"/>
      <c r="Q53" s="233"/>
      <c r="R53" s="233"/>
    </row>
    <row r="54" spans="1:18" ht="12.75">
      <c r="A54" s="146" t="s">
        <v>342</v>
      </c>
      <c r="B54" s="146"/>
      <c r="C54" s="230">
        <f>SUM(C50:C53)</f>
        <v>0</v>
      </c>
      <c r="D54" s="230">
        <f>SUM(D50:D53)</f>
        <v>0</v>
      </c>
      <c r="E54" s="230">
        <f>SUM(E50:E53)</f>
        <v>0</v>
      </c>
      <c r="F54" s="230"/>
      <c r="G54" s="230">
        <f>SUM(G50:G53)</f>
        <v>0</v>
      </c>
      <c r="L54" s="3"/>
      <c r="M54" s="108"/>
      <c r="N54" s="233"/>
      <c r="O54" s="233"/>
      <c r="P54" s="233"/>
      <c r="Q54" s="233"/>
      <c r="R54" s="233"/>
    </row>
    <row r="55" spans="3:18" ht="12.75">
      <c r="C55" s="216"/>
      <c r="D55" s="216"/>
      <c r="E55" s="216"/>
      <c r="F55" s="216"/>
      <c r="G55" s="216"/>
      <c r="L55" s="4"/>
      <c r="M55" s="5"/>
      <c r="N55" s="235"/>
      <c r="O55" s="235"/>
      <c r="P55" s="235"/>
      <c r="Q55" s="235"/>
      <c r="R55" s="235"/>
    </row>
    <row r="56" spans="1:18" ht="12.75">
      <c r="A56" s="146" t="s">
        <v>252</v>
      </c>
      <c r="B56" s="146"/>
      <c r="C56" s="230">
        <f>C54+C49</f>
        <v>0</v>
      </c>
      <c r="D56" s="230">
        <f>D54+D49</f>
        <v>0</v>
      </c>
      <c r="E56" s="230">
        <f>E54+E49</f>
        <v>0</v>
      </c>
      <c r="F56" s="230"/>
      <c r="G56" s="230">
        <f>G54+G49</f>
        <v>0</v>
      </c>
      <c r="L56" s="143" t="s">
        <v>47</v>
      </c>
      <c r="M56" s="6"/>
      <c r="N56" s="236">
        <f>SUM(N44:N55)</f>
        <v>0</v>
      </c>
      <c r="O56" s="236">
        <f>SUM(O44:O55)</f>
        <v>0</v>
      </c>
      <c r="P56" s="236">
        <f>SUM(P44:P55)</f>
        <v>0</v>
      </c>
      <c r="Q56" s="236"/>
      <c r="R56" s="236"/>
    </row>
    <row r="57" spans="12:18" ht="36" customHeight="1">
      <c r="L57" s="124" t="s">
        <v>439</v>
      </c>
      <c r="M57" s="125" t="s">
        <v>119</v>
      </c>
      <c r="N57" s="237"/>
      <c r="O57" s="242"/>
      <c r="P57" s="237">
        <f>O56-P56</f>
        <v>0</v>
      </c>
      <c r="Q57" s="242"/>
      <c r="R57" s="242"/>
    </row>
    <row r="58" spans="12:18" ht="12.75">
      <c r="L58" s="144" t="s">
        <v>319</v>
      </c>
      <c r="M58" s="105"/>
      <c r="N58" s="238">
        <f>N56+N57</f>
        <v>0</v>
      </c>
      <c r="O58" s="238">
        <f>O56+O57</f>
        <v>0</v>
      </c>
      <c r="P58" s="238">
        <f>P56</f>
        <v>0</v>
      </c>
      <c r="Q58" s="238"/>
      <c r="R58" s="238"/>
    </row>
    <row r="59" spans="12:18" ht="12.75">
      <c r="L59" s="121" t="s">
        <v>2</v>
      </c>
      <c r="M59" s="92"/>
      <c r="N59" s="239"/>
      <c r="O59" s="239"/>
      <c r="P59" s="240"/>
      <c r="Q59" s="216"/>
      <c r="R59" s="216"/>
    </row>
    <row r="60" spans="12:18" ht="12.75">
      <c r="L60" s="2" t="s">
        <v>278</v>
      </c>
      <c r="M60" s="107"/>
      <c r="N60" s="234"/>
      <c r="O60" s="233">
        <f>Prévisionnel!M51</f>
        <v>0</v>
      </c>
      <c r="P60" s="233">
        <f>Prévisionnel!I47</f>
        <v>0</v>
      </c>
      <c r="Q60" s="216"/>
      <c r="R60" s="216"/>
    </row>
    <row r="61" spans="12:18" ht="12.75">
      <c r="L61" s="3"/>
      <c r="M61" s="108"/>
      <c r="N61" s="233"/>
      <c r="O61" s="233"/>
      <c r="P61" s="233"/>
      <c r="Q61" s="216"/>
      <c r="R61" s="216"/>
    </row>
    <row r="62" spans="12:18" ht="12.75">
      <c r="L62" s="3" t="s">
        <v>160</v>
      </c>
      <c r="M62" s="108"/>
      <c r="N62" s="234"/>
      <c r="O62" s="233">
        <f>Prévisionnel!P51</f>
        <v>0</v>
      </c>
      <c r="P62" s="233">
        <f>'Livre de compte'!AP17+'Livre de compte'!AP30+'Livre de compte'!AP43+'Livre de compte'!AP60+'Livre de compte'!AP73+'Livre de compte'!AP86+'Livre de compte'!AP103+'Livre de compte'!AP116+'Livre de compte'!AP129+'Livre de compte'!AP146+'Livre de compte'!AP159+'Livre de compte'!AP172</f>
        <v>0</v>
      </c>
      <c r="Q62" s="216"/>
      <c r="R62" s="216"/>
    </row>
    <row r="63" spans="12:18" ht="12.75">
      <c r="L63" s="3" t="s">
        <v>351</v>
      </c>
      <c r="M63" s="108"/>
      <c r="N63" s="234"/>
      <c r="O63" s="233">
        <f>Prévisionnel!Q51</f>
        <v>0</v>
      </c>
      <c r="P63" s="233">
        <f>'Livre de compte'!AQ17+'Livre de compte'!AQ30+'Livre de compte'!AQ43+'Livre de compte'!AQ60+'Livre de compte'!AQ73+'Livre de compte'!AQ86+'Livre de compte'!AQ103+'Livre de compte'!AQ116+'Livre de compte'!AQ129+'Livre de compte'!AQ146+'Livre de compte'!AQ159+'Livre de compte'!AQ172</f>
        <v>0</v>
      </c>
      <c r="Q63" s="216"/>
      <c r="R63" s="216"/>
    </row>
    <row r="64" spans="12:18" ht="12.75">
      <c r="L64" s="3" t="s">
        <v>85</v>
      </c>
      <c r="M64" s="108"/>
      <c r="N64" s="234"/>
      <c r="O64" s="233">
        <f>Prévisionnel!R51</f>
        <v>0</v>
      </c>
      <c r="P64" s="233">
        <f>'Livre de compte'!AR17+'Livre de compte'!AR30+'Livre de compte'!AR43+'Livre de compte'!AR60+'Livre de compte'!AR73+'Livre de compte'!AR86+'Livre de compte'!AR103+'Livre de compte'!AR116+'Livre de compte'!AR129+'Livre de compte'!AR146+'Livre de compte'!AR159+'Livre de compte'!AR172</f>
        <v>0</v>
      </c>
      <c r="Q64" s="216"/>
      <c r="R64" s="216"/>
    </row>
    <row r="65" spans="12:18" ht="12.75">
      <c r="L65" s="3"/>
      <c r="M65" s="108"/>
      <c r="N65" s="233"/>
      <c r="O65" s="233"/>
      <c r="P65" s="233"/>
      <c r="Q65" s="216"/>
      <c r="R65" s="216"/>
    </row>
    <row r="66" spans="12:18" ht="12.75">
      <c r="L66" s="3" t="s">
        <v>63</v>
      </c>
      <c r="N66" s="234"/>
      <c r="O66" s="233">
        <f>Prévisionnel!S51</f>
        <v>0</v>
      </c>
      <c r="P66" s="233">
        <f>'Livre de compte'!AS17+'Livre de compte'!AS30+'Livre de compte'!AS43+'Livre de compte'!AS60+'Livre de compte'!AS73+'Livre de compte'!AS86+'Livre de compte'!AS103+'Livre de compte'!AS116+'Livre de compte'!AS129+'Livre de compte'!AS146+'Livre de compte'!AS159+'Livre de compte'!AS172</f>
        <v>0</v>
      </c>
      <c r="Q66" s="216"/>
      <c r="R66" s="216"/>
    </row>
    <row r="67" spans="12:18" ht="12.75">
      <c r="L67" s="3"/>
      <c r="M67" s="108"/>
      <c r="N67" s="233"/>
      <c r="O67" s="233"/>
      <c r="P67" s="233"/>
      <c r="Q67" s="216"/>
      <c r="R67" s="216"/>
    </row>
    <row r="68" spans="12:18" ht="12.75">
      <c r="L68" s="3" t="s">
        <v>355</v>
      </c>
      <c r="M68" s="108"/>
      <c r="N68" s="234"/>
      <c r="O68" s="233">
        <f>Prévisionnel!T51</f>
        <v>0</v>
      </c>
      <c r="P68" s="233">
        <f>'Livre de compte'!AT17+'Livre de compte'!AT30+'Livre de compte'!AT43+'Livre de compte'!AT60+'Livre de compte'!AT73+'Livre de compte'!AT86+'Livre de compte'!AT103+'Livre de compte'!AT116+'Livre de compte'!AT129+'Livre de compte'!AT146+'Livre de compte'!AT159+'Livre de compte'!AT172</f>
        <v>0</v>
      </c>
      <c r="Q68" s="216"/>
      <c r="R68" s="216"/>
    </row>
    <row r="69" spans="12:18" ht="12.75">
      <c r="L69" s="3"/>
      <c r="M69" s="108"/>
      <c r="N69" s="241"/>
      <c r="O69" s="233"/>
      <c r="P69" s="233"/>
      <c r="Q69" s="216"/>
      <c r="R69" s="216"/>
    </row>
    <row r="70" spans="12:18" ht="12.75">
      <c r="L70" s="3"/>
      <c r="M70" s="108"/>
      <c r="N70" s="241"/>
      <c r="O70" s="233"/>
      <c r="P70" s="233"/>
      <c r="Q70" s="216"/>
      <c r="R70" s="216"/>
    </row>
    <row r="71" spans="12:18" ht="12.75">
      <c r="L71" s="3"/>
      <c r="M71" s="108"/>
      <c r="N71" s="233"/>
      <c r="O71" s="233"/>
      <c r="P71" s="233"/>
      <c r="Q71" s="216"/>
      <c r="R71" s="216"/>
    </row>
    <row r="72" spans="12:18" ht="12.75">
      <c r="L72" s="121" t="s">
        <v>359</v>
      </c>
      <c r="M72" s="139"/>
      <c r="N72" s="238">
        <f>SUM(N60:N71)</f>
        <v>0</v>
      </c>
      <c r="O72" s="238">
        <f>SUM(O60:O71)</f>
        <v>0</v>
      </c>
      <c r="P72" s="238">
        <f>SUM(P60:P71)</f>
        <v>0</v>
      </c>
      <c r="Q72" s="216"/>
      <c r="R72" s="216"/>
    </row>
    <row r="73" spans="12:18" ht="12.75">
      <c r="L73" s="143" t="s">
        <v>199</v>
      </c>
      <c r="M73" s="6"/>
      <c r="N73" s="236">
        <f>N58+N72</f>
        <v>0</v>
      </c>
      <c r="O73" s="236">
        <f>O58+O72</f>
        <v>0</v>
      </c>
      <c r="P73" s="236">
        <f>P58+P72</f>
        <v>0</v>
      </c>
      <c r="Q73" s="216"/>
      <c r="R73" s="216"/>
    </row>
    <row r="74" spans="1:20" ht="15.75">
      <c r="A74" s="120" t="s">
        <v>31</v>
      </c>
      <c r="F74" s="12" t="s">
        <v>26</v>
      </c>
      <c r="H74" s="62">
        <f>Copropriété!B2</f>
        <v>2015</v>
      </c>
      <c r="K74" s="119" t="s">
        <v>254</v>
      </c>
      <c r="L74" s="120" t="s">
        <v>31</v>
      </c>
      <c r="M74" s="8"/>
      <c r="O74" s="10" t="s">
        <v>26</v>
      </c>
      <c r="Q74" s="62">
        <f>Copropriété!B2</f>
        <v>2015</v>
      </c>
      <c r="T74" s="119" t="s">
        <v>354</v>
      </c>
    </row>
    <row r="75" spans="1:20" ht="15">
      <c r="A75" s="120">
        <f>A2</f>
        <v>0</v>
      </c>
      <c r="K75" s="99" t="s">
        <v>332</v>
      </c>
      <c r="L75" s="120">
        <f>A2</f>
        <v>0</v>
      </c>
      <c r="T75" s="99" t="s">
        <v>329</v>
      </c>
    </row>
    <row r="76" spans="1:20" ht="15.75">
      <c r="A76" s="10" t="s">
        <v>373</v>
      </c>
      <c r="L76" s="121" t="s">
        <v>24</v>
      </c>
      <c r="M76" s="92"/>
      <c r="N76" s="92"/>
      <c r="O76" s="92"/>
      <c r="P76" s="92"/>
      <c r="Q76" s="92"/>
      <c r="R76" s="95"/>
      <c r="T76" s="119"/>
    </row>
    <row r="77" spans="1:20" ht="76.5">
      <c r="A77" s="2"/>
      <c r="B77" s="107"/>
      <c r="C77" s="111" t="s">
        <v>250</v>
      </c>
      <c r="D77" s="100" t="s">
        <v>138</v>
      </c>
      <c r="E77" s="117" t="s">
        <v>388</v>
      </c>
      <c r="F77" s="100"/>
      <c r="G77" s="111" t="s">
        <v>5</v>
      </c>
      <c r="H77" s="116" t="s">
        <v>151</v>
      </c>
      <c r="I77" s="116" t="s">
        <v>340</v>
      </c>
      <c r="L77" s="2"/>
      <c r="M77" s="107"/>
      <c r="N77" s="106" t="s">
        <v>49</v>
      </c>
      <c r="O77" s="104" t="s">
        <v>242</v>
      </c>
      <c r="P77" s="104" t="s">
        <v>191</v>
      </c>
      <c r="Q77" s="104" t="s">
        <v>157</v>
      </c>
      <c r="R77" s="104" t="s">
        <v>284</v>
      </c>
      <c r="T77" s="99"/>
    </row>
    <row r="78" spans="1:18" ht="12.75">
      <c r="A78" s="3"/>
      <c r="B78" s="108"/>
      <c r="C78" s="114" t="s">
        <v>39</v>
      </c>
      <c r="D78" s="114" t="s">
        <v>40</v>
      </c>
      <c r="E78" s="112" t="s">
        <v>41</v>
      </c>
      <c r="F78" s="118"/>
      <c r="G78" s="113" t="s">
        <v>42</v>
      </c>
      <c r="H78" s="115" t="s">
        <v>166</v>
      </c>
      <c r="I78" s="115" t="s">
        <v>34</v>
      </c>
      <c r="L78" s="3"/>
      <c r="M78" s="108"/>
      <c r="N78" s="145">
        <f>Copropriété!B2-1</f>
        <v>2014</v>
      </c>
      <c r="O78" s="130">
        <f>Copropriété!B2</f>
        <v>2015</v>
      </c>
      <c r="P78" s="130">
        <f>Copropriété!B2</f>
        <v>2015</v>
      </c>
      <c r="Q78" s="130">
        <f>Copropriété!B2+1</f>
        <v>2016</v>
      </c>
      <c r="R78" s="130">
        <f>Copropriété!B2+2</f>
        <v>2017</v>
      </c>
    </row>
    <row r="79" spans="1:18" ht="12.75">
      <c r="A79" s="3"/>
      <c r="B79" s="108"/>
      <c r="C79" s="101"/>
      <c r="D79" s="101"/>
      <c r="E79" s="3"/>
      <c r="F79" s="101"/>
      <c r="G79" s="1"/>
      <c r="H79" s="91"/>
      <c r="I79" s="91"/>
      <c r="L79" s="3"/>
      <c r="M79" s="108"/>
      <c r="N79" s="91"/>
      <c r="O79" s="91"/>
      <c r="P79" s="91"/>
      <c r="Q79" s="91"/>
      <c r="R79" s="91"/>
    </row>
    <row r="80" spans="1:18" ht="12.75">
      <c r="A80" s="3" t="s">
        <v>192</v>
      </c>
      <c r="B80" s="108"/>
      <c r="C80" s="101"/>
      <c r="D80" s="101"/>
      <c r="E80" s="3"/>
      <c r="F80" s="101"/>
      <c r="G80" s="1"/>
      <c r="H80" s="101"/>
      <c r="I80" s="101"/>
      <c r="L80" s="209" t="s">
        <v>296</v>
      </c>
      <c r="M80" s="210"/>
      <c r="N80" s="333"/>
      <c r="O80" s="158">
        <f>Prévisionnel!H13</f>
        <v>0</v>
      </c>
      <c r="P80" s="334">
        <f>-(Prévisionnel!I13)</f>
        <v>0</v>
      </c>
      <c r="Q80" s="333"/>
      <c r="R80" s="333"/>
    </row>
    <row r="81" spans="1:18" ht="12.75">
      <c r="A81" s="3"/>
      <c r="B81" s="108"/>
      <c r="C81" s="101"/>
      <c r="D81" s="101"/>
      <c r="E81" s="3"/>
      <c r="F81" s="101"/>
      <c r="G81" s="1"/>
      <c r="H81" s="101"/>
      <c r="I81" s="101"/>
      <c r="L81" s="122"/>
      <c r="M81" s="108"/>
      <c r="N81" s="158"/>
      <c r="O81" s="158"/>
      <c r="P81" s="334"/>
      <c r="Q81" s="158"/>
      <c r="R81" s="158"/>
    </row>
    <row r="82" spans="1:18" ht="12.75">
      <c r="A82" s="3" t="s">
        <v>93</v>
      </c>
      <c r="B82" s="108"/>
      <c r="C82" s="101"/>
      <c r="D82" s="101"/>
      <c r="E82" s="3"/>
      <c r="F82" s="101"/>
      <c r="G82" s="1"/>
      <c r="H82" s="101"/>
      <c r="I82" s="101"/>
      <c r="L82" s="209" t="s">
        <v>262</v>
      </c>
      <c r="M82" s="211"/>
      <c r="N82" s="333"/>
      <c r="O82" s="158">
        <f>Prévisionnel!H20</f>
        <v>0</v>
      </c>
      <c r="P82" s="334">
        <f>-(Prévisionnel!I20)</f>
        <v>0</v>
      </c>
      <c r="Q82" s="333"/>
      <c r="R82" s="333"/>
    </row>
    <row r="83" spans="1:18" ht="12.75">
      <c r="A83" s="3"/>
      <c r="B83" s="108"/>
      <c r="C83" s="101"/>
      <c r="D83" s="101"/>
      <c r="E83" s="3"/>
      <c r="F83" s="101"/>
      <c r="G83" s="1"/>
      <c r="H83" s="101"/>
      <c r="I83" s="101"/>
      <c r="L83" s="122"/>
      <c r="M83" s="108"/>
      <c r="N83" s="158"/>
      <c r="O83" s="158"/>
      <c r="P83" s="334"/>
      <c r="Q83" s="158"/>
      <c r="R83" s="158"/>
    </row>
    <row r="84" spans="1:18" ht="12.75">
      <c r="A84" s="3"/>
      <c r="B84" s="108"/>
      <c r="C84" s="101"/>
      <c r="D84" s="101"/>
      <c r="E84" s="3"/>
      <c r="F84" s="101"/>
      <c r="G84" s="1"/>
      <c r="H84" s="101"/>
      <c r="I84" s="101"/>
      <c r="L84" s="209" t="s">
        <v>86</v>
      </c>
      <c r="M84" s="211"/>
      <c r="N84" s="333"/>
      <c r="O84" s="158">
        <f>Prévisionnel!H25</f>
        <v>0</v>
      </c>
      <c r="P84" s="334">
        <f>-(Prévisionnel!I25)</f>
        <v>0</v>
      </c>
      <c r="Q84" s="333"/>
      <c r="R84" s="333"/>
    </row>
    <row r="85" spans="1:18" ht="12.75">
      <c r="A85" s="3"/>
      <c r="B85" s="108"/>
      <c r="C85" s="101"/>
      <c r="D85" s="101"/>
      <c r="E85" s="3"/>
      <c r="F85" s="101"/>
      <c r="G85" s="1"/>
      <c r="H85" s="101"/>
      <c r="I85" s="101"/>
      <c r="L85" s="122"/>
      <c r="M85" s="108"/>
      <c r="N85" s="158"/>
      <c r="O85" s="158"/>
      <c r="P85" s="334"/>
      <c r="Q85" s="158"/>
      <c r="R85" s="158"/>
    </row>
    <row r="86" spans="1:18" ht="12.75">
      <c r="A86" s="3"/>
      <c r="B86" s="108"/>
      <c r="C86" s="101"/>
      <c r="D86" s="101"/>
      <c r="E86" s="3"/>
      <c r="F86" s="101"/>
      <c r="G86" s="1"/>
      <c r="H86" s="101"/>
      <c r="I86" s="101"/>
      <c r="L86" s="209" t="s">
        <v>248</v>
      </c>
      <c r="M86" s="211"/>
      <c r="N86" s="333"/>
      <c r="O86" s="158">
        <f>Prévisionnel!H30</f>
        <v>0</v>
      </c>
      <c r="P86" s="334">
        <f>-(Prévisionnel!I30)</f>
        <v>0</v>
      </c>
      <c r="Q86" s="333"/>
      <c r="R86" s="333"/>
    </row>
    <row r="87" spans="1:18" ht="12.75">
      <c r="A87" s="3"/>
      <c r="B87" s="108"/>
      <c r="C87" s="101"/>
      <c r="D87" s="101"/>
      <c r="E87" s="3"/>
      <c r="F87" s="101"/>
      <c r="G87" s="1"/>
      <c r="H87" s="101"/>
      <c r="I87" s="101"/>
      <c r="L87" s="122"/>
      <c r="M87" s="108"/>
      <c r="N87" s="158"/>
      <c r="O87" s="158"/>
      <c r="P87" s="334"/>
      <c r="Q87" s="158"/>
      <c r="R87" s="158"/>
    </row>
    <row r="88" spans="1:18" ht="12.75">
      <c r="A88" s="3"/>
      <c r="B88" s="108"/>
      <c r="C88" s="101"/>
      <c r="D88" s="101"/>
      <c r="E88" s="3"/>
      <c r="F88" s="101"/>
      <c r="G88" s="1"/>
      <c r="H88" s="101"/>
      <c r="I88" s="101"/>
      <c r="L88" s="209" t="s">
        <v>249</v>
      </c>
      <c r="M88" s="211"/>
      <c r="N88" s="333"/>
      <c r="O88" s="158">
        <f>Prévisionnel!H35</f>
        <v>0</v>
      </c>
      <c r="P88" s="334">
        <f>-(Prévisionnel!I35)</f>
        <v>0</v>
      </c>
      <c r="Q88" s="333"/>
      <c r="R88" s="333"/>
    </row>
    <row r="89" spans="1:18" ht="12.75">
      <c r="A89" s="4"/>
      <c r="B89" s="109"/>
      <c r="C89" s="109"/>
      <c r="D89" s="96"/>
      <c r="E89" s="4"/>
      <c r="F89" s="101"/>
      <c r="G89" s="5"/>
      <c r="H89" s="101"/>
      <c r="I89" s="101"/>
      <c r="L89" s="3"/>
      <c r="M89" s="108"/>
      <c r="N89" s="158"/>
      <c r="O89" s="158"/>
      <c r="P89" s="334"/>
      <c r="Q89" s="158"/>
      <c r="R89" s="158"/>
    </row>
    <row r="90" spans="1:18" ht="12.75">
      <c r="A90" s="121" t="s">
        <v>319</v>
      </c>
      <c r="B90" s="95"/>
      <c r="C90" s="93"/>
      <c r="D90" s="93"/>
      <c r="E90" s="94"/>
      <c r="F90" s="96"/>
      <c r="G90" s="92"/>
      <c r="H90" s="93"/>
      <c r="I90" s="93"/>
      <c r="L90" s="94" t="s">
        <v>370</v>
      </c>
      <c r="M90" s="139"/>
      <c r="N90" s="230">
        <f>N80+N82+N84+N86+N88</f>
        <v>0</v>
      </c>
      <c r="O90" s="230">
        <f>O80+O82+O84+O86+O88</f>
        <v>0</v>
      </c>
      <c r="P90" s="230">
        <f>P80+P82+P84+P86+P88</f>
        <v>0</v>
      </c>
      <c r="Q90" s="230">
        <f>Q80+Q82+Q84+Q86+Q88</f>
        <v>0</v>
      </c>
      <c r="R90" s="230">
        <f>R80+R82+R84+R86+R88</f>
        <v>0</v>
      </c>
    </row>
    <row r="91" spans="12:18" ht="12.75">
      <c r="L91" s="94" t="s">
        <v>371</v>
      </c>
      <c r="M91" s="139"/>
      <c r="N91" s="335"/>
      <c r="O91" s="230">
        <f>Prévisionnel!H45+Prévisionnel!H46</f>
        <v>0</v>
      </c>
      <c r="P91" s="230">
        <f>Prévisionnel!I45+Prévisionnel!I46</f>
        <v>0</v>
      </c>
      <c r="Q91" s="336"/>
      <c r="R91" s="336"/>
    </row>
    <row r="92" spans="12:18" ht="12.75">
      <c r="L92" s="121" t="s">
        <v>439</v>
      </c>
      <c r="M92" s="139"/>
      <c r="N92" s="230">
        <f>N91-N90</f>
        <v>0</v>
      </c>
      <c r="O92" s="337"/>
      <c r="P92" s="230">
        <f>P91-P90</f>
        <v>0</v>
      </c>
      <c r="Q92" s="337"/>
      <c r="R92" s="337"/>
    </row>
  </sheetData>
  <sheetProtection/>
  <printOptions/>
  <pageMargins left="0.7480314960629921" right="0.7480314960629921" top="0.3937007874015748" bottom="0.3937007874015748" header="0" footer="0"/>
  <pageSetup blackAndWhite="1" orientation="landscape" paperSize="9" r:id="rId3"/>
  <headerFooter alignWithMargins="0">
    <oddFooter>&amp;C&amp;"Arial,Gras"&amp;11Tableaux des annexes du décret n°2005-240 du 14 mars 2005 relatif aux comptes du syndicat des copropriétaires&amp;R&amp;D</oddFooter>
  </headerFooter>
  <rowBreaks count="2" manualBreakCount="2">
    <brk id="38" max="255" man="1"/>
    <brk id="73" max="255" man="1"/>
  </rowBreaks>
  <legacyDrawing r:id="rId2"/>
</worksheet>
</file>

<file path=xl/worksheets/sheet9.xml><?xml version="1.0" encoding="utf-8"?>
<worksheet xmlns="http://schemas.openxmlformats.org/spreadsheetml/2006/main" xmlns:r="http://schemas.openxmlformats.org/officeDocument/2006/relationships">
  <sheetPr>
    <tabColor rgb="FFFFFF00"/>
  </sheetPr>
  <dimension ref="A2:BA100"/>
  <sheetViews>
    <sheetView zoomScalePageLayoutView="0" workbookViewId="0" topLeftCell="K1">
      <selection activeCell="A39" sqref="A39"/>
    </sheetView>
  </sheetViews>
  <sheetFormatPr defaultColWidth="11.421875" defaultRowHeight="12.75"/>
  <cols>
    <col min="1" max="16384" width="11.421875" style="156" customWidth="1"/>
  </cols>
  <sheetData>
    <row r="2" ht="12.75">
      <c r="A2" s="380"/>
    </row>
    <row r="3" spans="3:22" ht="12.75">
      <c r="C3" s="8"/>
      <c r="L3" s="407" t="s">
        <v>206</v>
      </c>
      <c r="S3" s="407" t="s">
        <v>153</v>
      </c>
      <c r="V3" s="407" t="s">
        <v>396</v>
      </c>
    </row>
    <row r="4" spans="12:22" ht="12.75">
      <c r="L4" s="408" t="s">
        <v>215</v>
      </c>
      <c r="M4" s="366"/>
      <c r="N4" s="366"/>
      <c r="S4" s="409" t="s">
        <v>442</v>
      </c>
      <c r="V4" s="409" t="s">
        <v>233</v>
      </c>
    </row>
    <row r="5" spans="12:22" ht="12.75">
      <c r="L5" s="408" t="s">
        <v>420</v>
      </c>
      <c r="M5" s="366"/>
      <c r="N5" s="366"/>
      <c r="S5" s="409" t="s">
        <v>152</v>
      </c>
      <c r="V5" s="409" t="s">
        <v>13</v>
      </c>
    </row>
    <row r="6" spans="12:22" ht="12.75">
      <c r="L6" s="408" t="s">
        <v>230</v>
      </c>
      <c r="M6" s="366"/>
      <c r="N6" s="366"/>
      <c r="S6" s="409" t="s">
        <v>453</v>
      </c>
      <c r="V6" s="409"/>
    </row>
    <row r="7" spans="12:22" ht="12.75">
      <c r="L7" s="408" t="s">
        <v>338</v>
      </c>
      <c r="M7" s="366"/>
      <c r="N7" s="366"/>
      <c r="S7" s="409" t="s">
        <v>419</v>
      </c>
      <c r="V7" s="409"/>
    </row>
    <row r="8" spans="12:22" ht="12.75">
      <c r="L8" s="408" t="s">
        <v>392</v>
      </c>
      <c r="M8" s="366"/>
      <c r="N8" s="366"/>
      <c r="S8" s="409" t="s">
        <v>416</v>
      </c>
      <c r="V8" s="409"/>
    </row>
    <row r="9" spans="12:22" ht="12.75">
      <c r="L9" s="408" t="s">
        <v>246</v>
      </c>
      <c r="M9" s="366"/>
      <c r="N9" s="366"/>
      <c r="S9" s="409" t="s">
        <v>12</v>
      </c>
      <c r="V9" s="407" t="s">
        <v>456</v>
      </c>
    </row>
    <row r="10" spans="12:22" ht="12.75">
      <c r="L10" s="408" t="s">
        <v>60</v>
      </c>
      <c r="M10" s="366"/>
      <c r="N10" s="366"/>
      <c r="S10" s="409" t="s">
        <v>390</v>
      </c>
      <c r="V10" s="409" t="s">
        <v>442</v>
      </c>
    </row>
    <row r="11" spans="12:22" ht="12.75">
      <c r="L11" s="408" t="s">
        <v>264</v>
      </c>
      <c r="M11" s="366"/>
      <c r="N11" s="366"/>
      <c r="S11" s="409" t="s">
        <v>52</v>
      </c>
      <c r="V11" s="409" t="s">
        <v>152</v>
      </c>
    </row>
    <row r="12" spans="12:22" ht="12.75">
      <c r="L12" s="408" t="s">
        <v>204</v>
      </c>
      <c r="M12" s="366"/>
      <c r="N12" s="366"/>
      <c r="S12" s="409" t="s">
        <v>408</v>
      </c>
      <c r="V12" s="409"/>
    </row>
    <row r="13" spans="12:22" ht="12.75">
      <c r="L13" s="408" t="s">
        <v>179</v>
      </c>
      <c r="M13" s="366"/>
      <c r="N13" s="366"/>
      <c r="S13" s="409" t="s">
        <v>53</v>
      </c>
      <c r="V13" s="409"/>
    </row>
    <row r="14" spans="12:22" ht="12.75">
      <c r="L14" s="408" t="s">
        <v>77</v>
      </c>
      <c r="M14" s="366"/>
      <c r="N14" s="366"/>
      <c r="S14" s="409" t="s">
        <v>300</v>
      </c>
      <c r="V14" s="409"/>
    </row>
    <row r="15" spans="12:22" ht="12.75">
      <c r="L15" s="408" t="s">
        <v>445</v>
      </c>
      <c r="M15" s="366"/>
      <c r="N15" s="366"/>
      <c r="S15" s="409" t="s">
        <v>209</v>
      </c>
      <c r="V15" s="407" t="s">
        <v>120</v>
      </c>
    </row>
    <row r="16" spans="12:22" ht="12.75">
      <c r="L16" s="408" t="s">
        <v>80</v>
      </c>
      <c r="M16" s="366"/>
      <c r="N16" s="366"/>
      <c r="S16" s="409" t="s">
        <v>469</v>
      </c>
      <c r="V16" s="409" t="s">
        <v>121</v>
      </c>
    </row>
    <row r="17" spans="12:22" ht="12.75">
      <c r="L17" s="408" t="s">
        <v>278</v>
      </c>
      <c r="M17" s="366"/>
      <c r="N17" s="366"/>
      <c r="S17" s="409" t="s">
        <v>470</v>
      </c>
      <c r="V17" s="409" t="s">
        <v>122</v>
      </c>
    </row>
    <row r="18" spans="12:22" ht="12.75">
      <c r="L18" s="408" t="s">
        <v>81</v>
      </c>
      <c r="M18" s="366"/>
      <c r="N18" s="366"/>
      <c r="S18" s="409" t="s">
        <v>43</v>
      </c>
      <c r="V18" s="409" t="s">
        <v>123</v>
      </c>
    </row>
    <row r="19" spans="12:22" ht="12.75">
      <c r="L19" s="408" t="s">
        <v>310</v>
      </c>
      <c r="M19" s="366"/>
      <c r="N19" s="366"/>
      <c r="S19" s="409"/>
      <c r="V19" s="409"/>
    </row>
    <row r="20" spans="12:22" ht="12.75">
      <c r="L20" s="408" t="s">
        <v>160</v>
      </c>
      <c r="M20" s="366"/>
      <c r="N20" s="366"/>
      <c r="S20" s="409" t="s">
        <v>337</v>
      </c>
      <c r="V20" s="409"/>
    </row>
    <row r="21" spans="12:22" ht="12.75">
      <c r="L21" s="408" t="s">
        <v>351</v>
      </c>
      <c r="M21" s="366"/>
      <c r="N21" s="366"/>
      <c r="S21" s="409" t="s">
        <v>335</v>
      </c>
      <c r="V21" s="409"/>
    </row>
    <row r="22" spans="10:22" ht="12.75">
      <c r="J22" s="381"/>
      <c r="L22" s="408" t="s">
        <v>85</v>
      </c>
      <c r="M22" s="366"/>
      <c r="N22" s="366"/>
      <c r="S22" s="409" t="s">
        <v>125</v>
      </c>
      <c r="V22" s="409" t="s">
        <v>50</v>
      </c>
    </row>
    <row r="23" spans="12:22" ht="12.75">
      <c r="L23" s="408" t="s">
        <v>63</v>
      </c>
      <c r="M23" s="366"/>
      <c r="N23" s="366"/>
      <c r="S23" s="409" t="s">
        <v>88</v>
      </c>
      <c r="V23" s="409" t="s">
        <v>121</v>
      </c>
    </row>
    <row r="24" spans="10:22" ht="12.75">
      <c r="J24" s="382"/>
      <c r="L24" s="408" t="s">
        <v>355</v>
      </c>
      <c r="M24" s="366"/>
      <c r="N24" s="366"/>
      <c r="S24" s="409" t="s">
        <v>126</v>
      </c>
      <c r="V24" s="409" t="s">
        <v>122</v>
      </c>
    </row>
    <row r="25" spans="10:22" ht="12.75">
      <c r="J25" s="382"/>
      <c r="M25" s="366"/>
      <c r="N25" s="366"/>
      <c r="S25" s="409" t="s">
        <v>127</v>
      </c>
      <c r="V25" s="409"/>
    </row>
    <row r="26" spans="10:22" ht="12.75">
      <c r="J26" s="382"/>
      <c r="L26" s="366"/>
      <c r="M26" s="366"/>
      <c r="N26" s="366"/>
      <c r="S26" s="409" t="s">
        <v>89</v>
      </c>
      <c r="V26" s="409"/>
    </row>
    <row r="27" spans="10:22" ht="12.75">
      <c r="J27" s="382"/>
      <c r="L27" s="366"/>
      <c r="V27" s="409" t="s">
        <v>61</v>
      </c>
    </row>
    <row r="28" spans="10:22" ht="12.75">
      <c r="J28" s="382"/>
      <c r="L28" s="383"/>
      <c r="V28" s="409" t="s">
        <v>269</v>
      </c>
    </row>
    <row r="29" spans="10:22" ht="12.75">
      <c r="J29" s="382"/>
      <c r="L29" s="381"/>
      <c r="V29" s="409" t="s">
        <v>91</v>
      </c>
    </row>
    <row r="30" spans="10:12" ht="12.75">
      <c r="J30" s="382"/>
      <c r="L30" s="7"/>
    </row>
    <row r="31" ht="12.75">
      <c r="L31" s="366"/>
    </row>
    <row r="32" ht="12.75">
      <c r="L32" s="366"/>
    </row>
    <row r="33" ht="12.75">
      <c r="L33" s="366"/>
    </row>
    <row r="34" ht="12.75">
      <c r="L34" s="366"/>
    </row>
    <row r="35" ht="12.75">
      <c r="L35" s="366"/>
    </row>
    <row r="36" ht="12.75">
      <c r="L36" s="366"/>
    </row>
    <row r="37" ht="12.75">
      <c r="L37" s="366"/>
    </row>
    <row r="38" spans="2:53" ht="12.75">
      <c r="B38" s="370" t="s">
        <v>73</v>
      </c>
      <c r="C38" s="384" t="s">
        <v>304</v>
      </c>
      <c r="D38" s="384" t="s">
        <v>399</v>
      </c>
      <c r="E38" s="385" t="s">
        <v>72</v>
      </c>
      <c r="F38" s="370" t="s">
        <v>110</v>
      </c>
      <c r="G38" s="385" t="s">
        <v>13</v>
      </c>
      <c r="H38" s="370" t="s">
        <v>110</v>
      </c>
      <c r="I38" s="385" t="s">
        <v>13</v>
      </c>
      <c r="J38" s="370" t="s">
        <v>110</v>
      </c>
      <c r="K38" s="385" t="s">
        <v>13</v>
      </c>
      <c r="L38" s="370" t="s">
        <v>110</v>
      </c>
      <c r="M38" s="385" t="s">
        <v>13</v>
      </c>
      <c r="N38" s="370" t="s">
        <v>110</v>
      </c>
      <c r="O38" s="385" t="s">
        <v>13</v>
      </c>
      <c r="P38" s="370" t="s">
        <v>110</v>
      </c>
      <c r="Q38" s="385" t="s">
        <v>13</v>
      </c>
      <c r="R38" s="370" t="s">
        <v>110</v>
      </c>
      <c r="S38" s="385" t="s">
        <v>13</v>
      </c>
      <c r="T38" s="370" t="s">
        <v>109</v>
      </c>
      <c r="U38" s="385" t="s">
        <v>353</v>
      </c>
      <c r="V38" s="370" t="s">
        <v>290</v>
      </c>
      <c r="W38" s="385" t="s">
        <v>398</v>
      </c>
      <c r="X38" s="371" t="s">
        <v>390</v>
      </c>
      <c r="Y38" s="370" t="str">
        <f>F47</f>
        <v>Générales</v>
      </c>
      <c r="Z38" s="384" t="str">
        <f>H47</f>
        <v>Escalier</v>
      </c>
      <c r="AA38" s="384" t="str">
        <f>J47</f>
        <v>Eau</v>
      </c>
      <c r="AB38" s="384" t="str">
        <f>L47</f>
        <v>Charge1</v>
      </c>
      <c r="AC38" s="384" t="str">
        <f>N47</f>
        <v>Charge2</v>
      </c>
      <c r="AD38" s="384" t="str">
        <f>P47</f>
        <v>Travaux</v>
      </c>
      <c r="AE38" s="385" t="str">
        <f>R47</f>
        <v>Provision</v>
      </c>
      <c r="AF38" s="370" t="s">
        <v>404</v>
      </c>
      <c r="AG38" s="384" t="s">
        <v>405</v>
      </c>
      <c r="AH38" s="384" t="s">
        <v>68</v>
      </c>
      <c r="AI38" s="384" t="s">
        <v>69</v>
      </c>
      <c r="AJ38" s="384" t="s">
        <v>406</v>
      </c>
      <c r="AK38" s="385" t="s">
        <v>154</v>
      </c>
      <c r="AL38" s="370" t="s">
        <v>404</v>
      </c>
      <c r="AM38" s="384" t="s">
        <v>405</v>
      </c>
      <c r="AN38" s="384" t="s">
        <v>88</v>
      </c>
      <c r="AO38" s="384" t="s">
        <v>69</v>
      </c>
      <c r="AP38" s="385" t="s">
        <v>156</v>
      </c>
      <c r="AQ38" s="384" t="s">
        <v>89</v>
      </c>
      <c r="AR38" s="370" t="s">
        <v>128</v>
      </c>
      <c r="AS38" s="384" t="s">
        <v>261</v>
      </c>
      <c r="AT38" s="384" t="str">
        <f>F47</f>
        <v>Générales</v>
      </c>
      <c r="AU38" s="384" t="str">
        <f>H47</f>
        <v>Escalier</v>
      </c>
      <c r="AV38" s="384" t="str">
        <f>J47</f>
        <v>Eau</v>
      </c>
      <c r="AW38" s="384" t="str">
        <f>L47</f>
        <v>Charge1</v>
      </c>
      <c r="AX38" s="384" t="str">
        <f>N47</f>
        <v>Charge2</v>
      </c>
      <c r="AY38" s="384" t="str">
        <f>P47</f>
        <v>Travaux</v>
      </c>
      <c r="AZ38" s="385" t="str">
        <f>R47</f>
        <v>Provision</v>
      </c>
      <c r="BA38" s="371" t="s">
        <v>421</v>
      </c>
    </row>
    <row r="39" spans="1:53" ht="12.75">
      <c r="A39" s="156" t="str">
        <f>Copropriété!A6</f>
        <v>Lot n°1</v>
      </c>
      <c r="B39" s="386" t="str">
        <f>Copropriété!A7</f>
        <v>RDC : Appartement - Jardin</v>
      </c>
      <c r="C39" s="366" t="str">
        <f>Copropriété!C6</f>
        <v>ATCHOUM</v>
      </c>
      <c r="D39" s="366">
        <f>Copropriété!C7</f>
        <v>0</v>
      </c>
      <c r="E39" s="387">
        <f>Copropriété!C8</f>
        <v>0</v>
      </c>
      <c r="F39" s="388">
        <f>IF(Copropriété!D5="Tantièmes",Copropriété!D6,0)</f>
        <v>143</v>
      </c>
      <c r="G39" s="389">
        <f>IF(Copropriété!D5="Prorata",Copropriété!D6,0)</f>
        <v>0</v>
      </c>
      <c r="H39" s="388">
        <f>IF(Copropriété!E5="Tantièmes",Copropriété!E6,0)</f>
        <v>143</v>
      </c>
      <c r="I39" s="389">
        <f>IF(Copropriété!E5="Prorata",Copropriété!E6,0)</f>
        <v>0</v>
      </c>
      <c r="J39" s="388">
        <f>IF(Copropriété!F5="Tantièmes",Copropriété!F6,0)</f>
        <v>0</v>
      </c>
      <c r="K39" s="389">
        <f>IF(Copropriété!F5="Prorata",Copropriété!F6,0)</f>
        <v>143</v>
      </c>
      <c r="L39" s="388">
        <f>IF(Copropriété!G5="Tantièmes",Copropriété!G6,0)</f>
        <v>0</v>
      </c>
      <c r="M39" s="389">
        <f>IF(Copropriété!G5="Prorata",Copropriété!G6,0)</f>
        <v>143</v>
      </c>
      <c r="N39" s="388">
        <f>IF(Copropriété!H5="Tantièmes",Copropriété!H6,0)</f>
        <v>0</v>
      </c>
      <c r="O39" s="389">
        <f>IF(Copropriété!H5="Prorata",Copropriété!H6,0)</f>
        <v>143</v>
      </c>
      <c r="P39" s="388">
        <f>IF(Copropriété!I5="Tantièmes",Copropriété!I6,0)</f>
        <v>0</v>
      </c>
      <c r="Q39" s="389">
        <f>IF(Copropriété!I5="Prorata",Copropriété!I6,0)</f>
        <v>143</v>
      </c>
      <c r="R39" s="388">
        <f>IF(Copropriété!J5="Tantièmes",Copropriété!J6,0)</f>
        <v>143</v>
      </c>
      <c r="S39" s="389">
        <f>IF(Copropriété!J5="Prorata",Copropriété!J6,0)</f>
        <v>0</v>
      </c>
      <c r="T39" s="390">
        <f>IF('Comptes Lots'!C22&lt;=0,'Comptes Lots'!C22,"")</f>
        <v>0</v>
      </c>
      <c r="U39" s="391">
        <f>IF('Comptes Lots'!C22&gt;=0,'Comptes Lots'!C22,"")</f>
        <v>0</v>
      </c>
      <c r="V39" s="390">
        <f>IF('Comptes Lots'!C21+'Comptes Lots'!B4&lt;=0,'Comptes Lots'!C21+'Comptes Lots'!B4,"")</f>
        <v>0</v>
      </c>
      <c r="W39" s="391">
        <f>IF('Comptes Lots'!C21+'Comptes Lots'!B4&gt;=0,'Comptes Lots'!C21+'Comptes Lots'!B4,"")</f>
        <v>0</v>
      </c>
      <c r="X39" s="392">
        <f>'Comptes Lots'!G22</f>
        <v>0</v>
      </c>
      <c r="Y39" s="390">
        <f>-('Comptes Lots'!C17)</f>
        <v>0</v>
      </c>
      <c r="Z39" s="393">
        <f>-('Comptes Lots'!D17)</f>
        <v>0</v>
      </c>
      <c r="AA39" s="393">
        <f>-('Comptes Lots'!E17)</f>
        <v>0</v>
      </c>
      <c r="AB39" s="393">
        <f>-('Comptes Lots'!F17)</f>
        <v>0</v>
      </c>
      <c r="AC39" s="393">
        <f>-('Comptes Lots'!G17)</f>
        <v>0</v>
      </c>
      <c r="AD39" s="393">
        <f>-('Comptes Lots'!H17)</f>
        <v>0</v>
      </c>
      <c r="AE39" s="391">
        <f>-('Comptes Lots'!I17)</f>
        <v>0</v>
      </c>
      <c r="AF39" s="390">
        <f>'Comptes Lots'!J5+'Comptes Lots'!J6+'Comptes Lots'!J7</f>
        <v>0</v>
      </c>
      <c r="AG39" s="393">
        <f>'Comptes Lots'!J8+'Comptes Lots'!J9+'Comptes Lots'!J10</f>
        <v>0</v>
      </c>
      <c r="AH39" s="393">
        <f>'Comptes Lots'!J5+'Comptes Lots'!J6+'Comptes Lots'!J7+'Comptes Lots'!J8+'Comptes Lots'!J9+'Comptes Lots'!J10</f>
        <v>0</v>
      </c>
      <c r="AI39" s="393">
        <f>'Comptes Lots'!J11+'Comptes Lots'!J12+'Comptes Lots'!J13</f>
        <v>0</v>
      </c>
      <c r="AJ39" s="393">
        <f>'Comptes Lots'!J14+'Comptes Lots'!J15+'Comptes Lots'!J16</f>
        <v>0</v>
      </c>
      <c r="AK39" s="391">
        <f>'Comptes Lots'!J11+'Comptes Lots'!J12+'Comptes Lots'!J13+'Comptes Lots'!J14+'Comptes Lots'!J15+'Comptes Lots'!J16</f>
        <v>0</v>
      </c>
      <c r="AL39" s="394" t="str">
        <f>IF(ISBLANK('Appels de Fonds'!J4),"0",AS39)</f>
        <v>0</v>
      </c>
      <c r="AM39" s="395" t="str">
        <f>IF(ISBLANK('Appels de Fonds'!J6),"0",AS39)</f>
        <v>0</v>
      </c>
      <c r="AN39" s="395">
        <f aca="true" t="shared" si="0" ref="AN39:AN46">AL39+AM39</f>
        <v>0</v>
      </c>
      <c r="AO39" s="395" t="str">
        <f>IF(ISBLANK('Appels de Fonds'!J8),"0",AS39)</f>
        <v>0</v>
      </c>
      <c r="AP39" s="396" t="str">
        <f>IF(ISBLANK('Appels de Fonds'!J10),"0",AS39)</f>
        <v>0</v>
      </c>
      <c r="AQ39" s="395">
        <f aca="true" t="shared" si="1" ref="AQ39:AQ46">AO39+AP39</f>
        <v>0</v>
      </c>
      <c r="AR39" s="390">
        <f aca="true" t="shared" si="2" ref="AR39:AR46">AT39+AU39+AV39+AW39+AX39+AY39+AZ39</f>
        <v>0</v>
      </c>
      <c r="AS39" s="393">
        <f aca="true" t="shared" si="3" ref="AS39:AS46">AR39/4</f>
        <v>0</v>
      </c>
      <c r="AT39" s="393">
        <f>IF(G39&gt;0,Prévisionnel!E13*G39/Copropriété!D10,Prévisionnel!E13*F39/Copropriété!D10)</f>
        <v>0</v>
      </c>
      <c r="AU39" s="393">
        <f>IF(I39&gt;0,Prévisionnel!E20*I39/Copropriété!E10,Prévisionnel!E20*H39/Copropriété!E10)</f>
        <v>0</v>
      </c>
      <c r="AV39" s="393">
        <f>IF(K39&gt;0,Prévisionnel!E25*K39/Copropriété!F10,Prévisionnel!E25*J39/Copropriété!F10)</f>
        <v>0</v>
      </c>
      <c r="AW39" s="393">
        <f>IF(M39&gt;0,Prévisionnel!E30*M39/Copropriété!G10,Prévisionnel!E30*L39/Copropriété!G10)</f>
        <v>0</v>
      </c>
      <c r="AX39" s="393">
        <f>IF(O39&gt;0,Prévisionnel!E35*O39/Copropriété!H10,Prévisionnel!E35*N39/Copropriété!H10)</f>
        <v>0</v>
      </c>
      <c r="AY39" s="393">
        <f>IF(Q39&gt;0,Prévisionnel!E38*Q39/Copropriété!I10,Prévisionnel!E38*P39/Copropriété!I10)</f>
        <v>0</v>
      </c>
      <c r="AZ39" s="391">
        <f>IF(S39&gt;0,Prévisionnel!E39*S39/Copropriété!J10,Prévisionnel!E39*R39/Copropriété!J10)</f>
        <v>0</v>
      </c>
      <c r="BA39" s="392">
        <f aca="true" t="shared" si="4" ref="BA39:BA46">SUM(Y39:AE39)</f>
        <v>0</v>
      </c>
    </row>
    <row r="40" spans="1:53" ht="12.75">
      <c r="A40" s="156" t="str">
        <f>Copropriété!A11</f>
        <v>Lot n°2</v>
      </c>
      <c r="B40" s="386" t="str">
        <f>Copropriété!A12</f>
        <v>RDC :  Appartement - Jardin - Chaufferie</v>
      </c>
      <c r="C40" s="366" t="str">
        <f>Copropriété!C11</f>
        <v>ATCHOUM</v>
      </c>
      <c r="D40" s="366">
        <f>Copropriété!C12</f>
        <v>0</v>
      </c>
      <c r="E40" s="387">
        <f>Copropriété!C13</f>
        <v>0</v>
      </c>
      <c r="F40" s="388">
        <f>IF(Copropriété!D5="Tantièmes",Copropriété!D11,0)</f>
        <v>162</v>
      </c>
      <c r="G40" s="389">
        <f>IF(Copropriété!D5="Prorata",Copropriété!D11,0)</f>
        <v>0</v>
      </c>
      <c r="H40" s="388">
        <f>IF(Copropriété!E5="Tantièmes",Copropriété!E11,0)</f>
        <v>162</v>
      </c>
      <c r="I40" s="389">
        <f>IF(Copropriété!E5="Prorata",Copropriété!E11,0)</f>
        <v>0</v>
      </c>
      <c r="J40" s="388">
        <f>IF(Copropriété!F5="Tantièmes",Copropriété!F11,0)</f>
        <v>0</v>
      </c>
      <c r="K40" s="389">
        <f>IF(Copropriété!F5="Prorata",Copropriété!F11,0)</f>
        <v>162</v>
      </c>
      <c r="L40" s="388">
        <f>IF(Copropriété!G5="Tantièmes",Copropriété!G11,0)</f>
        <v>0</v>
      </c>
      <c r="M40" s="389">
        <f>IF(Copropriété!G5="Prorata",Copropriété!G11,0)</f>
        <v>162</v>
      </c>
      <c r="N40" s="388">
        <f>IF(Copropriété!H5="Tantièmes",Copropriété!H11,0)</f>
        <v>0</v>
      </c>
      <c r="O40" s="389">
        <f>IF(Copropriété!H5="Prorata",Copropriété!H11,0)</f>
        <v>162</v>
      </c>
      <c r="P40" s="388">
        <f>IF(Copropriété!I5="Tantièmes",Copropriété!I11,0)</f>
        <v>0</v>
      </c>
      <c r="Q40" s="389">
        <f>IF(Copropriété!I5="Prorata",Copropriété!I11,0)</f>
        <v>162</v>
      </c>
      <c r="R40" s="388">
        <f>IF(Copropriété!J5="Tantièmes",Copropriété!J11,0)</f>
        <v>162</v>
      </c>
      <c r="S40" s="389">
        <f>IF(Copropriété!J5="Prorata",Copropriété!J11,0)</f>
        <v>0</v>
      </c>
      <c r="T40" s="390">
        <f>IF('Comptes Lots'!C45&lt;=0,'Comptes Lots'!C45,"")</f>
        <v>0</v>
      </c>
      <c r="U40" s="391">
        <f>IF('Comptes Lots'!C45&gt;=0,'Comptes Lots'!C45,"")</f>
        <v>0</v>
      </c>
      <c r="V40" s="390">
        <f>IF('Comptes Lots'!C44+'Comptes Lots'!B27&lt;=0,'Comptes Lots'!C44+'Comptes Lots'!B27,"")</f>
        <v>0</v>
      </c>
      <c r="W40" s="391">
        <f>IF('Comptes Lots'!C44+'Comptes Lots'!B27&gt;=0,'Comptes Lots'!C44+'Comptes Lots'!B27,"")</f>
        <v>0</v>
      </c>
      <c r="X40" s="392">
        <f>'Comptes Lots'!G45</f>
        <v>0</v>
      </c>
      <c r="Y40" s="390">
        <f>-('Comptes Lots'!C40)</f>
        <v>0</v>
      </c>
      <c r="Z40" s="393">
        <f>-('Comptes Lots'!D40)</f>
        <v>0</v>
      </c>
      <c r="AA40" s="393">
        <f>-('Comptes Lots'!E40)</f>
        <v>0</v>
      </c>
      <c r="AB40" s="393">
        <f>-('Comptes Lots'!F40)</f>
        <v>0</v>
      </c>
      <c r="AC40" s="393">
        <f>-('Comptes Lots'!G40)</f>
        <v>0</v>
      </c>
      <c r="AD40" s="393">
        <f>-('Comptes Lots'!H40)</f>
        <v>0</v>
      </c>
      <c r="AE40" s="391">
        <f>-('Comptes Lots'!I40)</f>
        <v>0</v>
      </c>
      <c r="AF40" s="390">
        <f>'Comptes Lots'!J28+'Comptes Lots'!J29+'Comptes Lots'!J30</f>
        <v>0</v>
      </c>
      <c r="AG40" s="393">
        <f>'Comptes Lots'!J31+'Comptes Lots'!J32+'Comptes Lots'!J33</f>
        <v>0</v>
      </c>
      <c r="AH40" s="393">
        <f>'Comptes Lots'!J28+'Comptes Lots'!J29+'Comptes Lots'!J30+'Comptes Lots'!J31+'Comptes Lots'!J32+'Comptes Lots'!J33</f>
        <v>0</v>
      </c>
      <c r="AI40" s="393">
        <f>'Comptes Lots'!J34+'Comptes Lots'!J35+'Comptes Lots'!J36</f>
        <v>0</v>
      </c>
      <c r="AJ40" s="393">
        <f>'Comptes Lots'!J37+'Comptes Lots'!J38+'Comptes Lots'!J39</f>
        <v>0</v>
      </c>
      <c r="AK40" s="391">
        <f>'Comptes Lots'!J34+'Comptes Lots'!J35+'Comptes Lots'!J36+'Comptes Lots'!J37+'Comptes Lots'!J38+'Comptes Lots'!J39</f>
        <v>0</v>
      </c>
      <c r="AL40" s="394" t="str">
        <f>IF(ISBLANK('Appels de Fonds'!K4),"0",AS40)</f>
        <v>0</v>
      </c>
      <c r="AM40" s="395" t="str">
        <f>IF(ISBLANK('Appels de Fonds'!K6),"0",AS40)</f>
        <v>0</v>
      </c>
      <c r="AN40" s="395">
        <f t="shared" si="0"/>
        <v>0</v>
      </c>
      <c r="AO40" s="395" t="str">
        <f>IF(ISBLANK('Appels de Fonds'!K8),"0",AS40)</f>
        <v>0</v>
      </c>
      <c r="AP40" s="396" t="str">
        <f>IF(ISBLANK('Appels de Fonds'!K10),"0",AS40)</f>
        <v>0</v>
      </c>
      <c r="AQ40" s="395">
        <f t="shared" si="1"/>
        <v>0</v>
      </c>
      <c r="AR40" s="390">
        <f>AT40+AU40+AV40+AW40+AX40+AY40+AZ40</f>
        <v>0</v>
      </c>
      <c r="AS40" s="393">
        <f t="shared" si="3"/>
        <v>0</v>
      </c>
      <c r="AT40" s="393">
        <f>IF(G40&gt;0,Prévisionnel!E13*G40/Copropriété!D11,Prévisionnel!E13*F40/Copropriété!D15)</f>
        <v>0</v>
      </c>
      <c r="AU40" s="393">
        <f>IF(I40&gt;0,Prévisionnel!E20*I40/Copropriété!E15,Prévisionnel!E20*H40/Copropriété!E15)</f>
        <v>0</v>
      </c>
      <c r="AV40" s="393">
        <f>IF(K40&gt;0,Prévisionnel!E25*K40/Copropriété!F15,Prévisionnel!E25*J40/Copropriété!F15)</f>
        <v>0</v>
      </c>
      <c r="AW40" s="393">
        <f>IF(M40&gt;0,Prévisionnel!E30*M40/Copropriété!G15,Prévisionnel!E30*L40/Copropriété!G15)</f>
        <v>0</v>
      </c>
      <c r="AX40" s="393">
        <f>IF(O40&gt;0,Prévisionnel!E35*O40/Copropriété!H15,Prévisionnel!E35*N40/Copropriété!H15)</f>
        <v>0</v>
      </c>
      <c r="AY40" s="393">
        <f>IF(Q40&gt;0,Prévisionnel!E38*Q40/Copropriété!I15,Prévisionnel!E38*P40/Copropriété!I15)</f>
        <v>0</v>
      </c>
      <c r="AZ40" s="391">
        <f>IF(S40&gt;0,Prévisionnel!E39*S40/Copropriété!J15,Prévisionnel!E39*R40/Copropriété!J15)</f>
        <v>0</v>
      </c>
      <c r="BA40" s="392">
        <f t="shared" si="4"/>
        <v>0</v>
      </c>
    </row>
    <row r="41" spans="1:53" ht="12.75">
      <c r="A41" s="156" t="str">
        <f>Copropriété!A16</f>
        <v>Lot n°3</v>
      </c>
      <c r="B41" s="386" t="str">
        <f>Copropriété!A17</f>
        <v>RDC : Local </v>
      </c>
      <c r="C41" s="366" t="str">
        <f>Copropriété!C16</f>
        <v>GRINCHEUX</v>
      </c>
      <c r="D41" s="366">
        <f>Copropriété!C17</f>
        <v>0</v>
      </c>
      <c r="E41" s="387">
        <f>Copropriété!C18</f>
        <v>0</v>
      </c>
      <c r="F41" s="388">
        <f>IF(Copropriété!D5="Tantièmes",Copropriété!D16,0)</f>
        <v>91</v>
      </c>
      <c r="G41" s="389">
        <f>IF(Copropriété!D5="Prorata",Copropriété!D16,0)</f>
        <v>0</v>
      </c>
      <c r="H41" s="388">
        <f>IF(Copropriété!E5="Tantièmes",Copropriété!E16,0)</f>
        <v>91</v>
      </c>
      <c r="I41" s="389">
        <f>IF(Copropriété!E5="Prorata",Copropriété!E16,0)</f>
        <v>0</v>
      </c>
      <c r="J41" s="388">
        <f>IF(Copropriété!F5="Tantièmes",Copropriété!F16,0)</f>
        <v>0</v>
      </c>
      <c r="K41" s="389">
        <f>IF(Copropriété!F5="Prorata",Copropriété!F16,0)</f>
        <v>91</v>
      </c>
      <c r="L41" s="388">
        <f>IF(Copropriété!G5="Tantièmes",Copropriété!G16,0)</f>
        <v>0</v>
      </c>
      <c r="M41" s="389">
        <f>IF(Copropriété!G5="Prorata",Copropriété!G16,0)</f>
        <v>91</v>
      </c>
      <c r="N41" s="388">
        <f>IF(Copropriété!H5="Tantièmes",Copropriété!H16,0)</f>
        <v>0</v>
      </c>
      <c r="O41" s="389">
        <f>IF(Copropriété!H5="Prorata",Copropriété!H16,0)</f>
        <v>91</v>
      </c>
      <c r="P41" s="388">
        <f>IF(Copropriété!I5="Tantièmes",Copropriété!I16,0)</f>
        <v>0</v>
      </c>
      <c r="Q41" s="389">
        <f>IF(Copropriété!I5="Prorata",Copropriété!I16,0)</f>
        <v>91</v>
      </c>
      <c r="R41" s="388">
        <f>IF(Copropriété!J5="Tantièmes",Copropriété!J16,0)</f>
        <v>91</v>
      </c>
      <c r="S41" s="389">
        <f>IF(Copropriété!J5="Prorata",Copropriété!J16,0)</f>
        <v>0</v>
      </c>
      <c r="T41" s="390">
        <f>IF('Comptes Lots'!C68&lt;=0,'Comptes Lots'!C68,"")</f>
        <v>0</v>
      </c>
      <c r="U41" s="391">
        <f>IF('Comptes Lots'!C68&gt;=0,'Comptes Lots'!C68,"")</f>
        <v>0</v>
      </c>
      <c r="V41" s="390">
        <f>IF('Comptes Lots'!C67+'Comptes Lots'!B50&lt;=0,'Comptes Lots'!C67+'Comptes Lots'!B50,"")</f>
        <v>0</v>
      </c>
      <c r="W41" s="391">
        <f>IF('Comptes Lots'!C67+'Comptes Lots'!B50&gt;=0,'Comptes Lots'!C67+'Comptes Lots'!B50,"")</f>
        <v>0</v>
      </c>
      <c r="X41" s="392">
        <f>'Comptes Lots'!G68</f>
        <v>0</v>
      </c>
      <c r="Y41" s="390">
        <f>-('Comptes Lots'!C63)</f>
        <v>0</v>
      </c>
      <c r="Z41" s="393">
        <f>-('Comptes Lots'!D63)</f>
        <v>0</v>
      </c>
      <c r="AA41" s="393">
        <f>-('Comptes Lots'!E63)</f>
        <v>0</v>
      </c>
      <c r="AB41" s="393">
        <f>-('Comptes Lots'!F63)</f>
        <v>0</v>
      </c>
      <c r="AC41" s="393">
        <f>-('Comptes Lots'!G63)</f>
        <v>0</v>
      </c>
      <c r="AD41" s="393">
        <f>-('Comptes Lots'!H63)</f>
        <v>0</v>
      </c>
      <c r="AE41" s="391">
        <f>-('Comptes Lots'!I63)</f>
        <v>0</v>
      </c>
      <c r="AF41" s="390">
        <f>'Comptes Lots'!J51+'Comptes Lots'!J52+'Comptes Lots'!J53</f>
        <v>0</v>
      </c>
      <c r="AG41" s="393">
        <f>'Comptes Lots'!J54+'Comptes Lots'!J55+'Comptes Lots'!J56</f>
        <v>0</v>
      </c>
      <c r="AH41" s="393">
        <f>'Comptes Lots'!J51+'Comptes Lots'!J52+'Comptes Lots'!J53+'Comptes Lots'!J54+'Comptes Lots'!J55+'Comptes Lots'!J56</f>
        <v>0</v>
      </c>
      <c r="AI41" s="393">
        <f>'Comptes Lots'!J57+'Comptes Lots'!J58+'Comptes Lots'!J59</f>
        <v>0</v>
      </c>
      <c r="AJ41" s="393">
        <f>'Comptes Lots'!J60+'Comptes Lots'!J61+'Comptes Lots'!J62</f>
        <v>0</v>
      </c>
      <c r="AK41" s="391">
        <f>'Comptes Lots'!J57+'Comptes Lots'!J58+'Comptes Lots'!J59+'Comptes Lots'!J60+'Comptes Lots'!J61+'Comptes Lots'!J62</f>
        <v>0</v>
      </c>
      <c r="AL41" s="394" t="str">
        <f>IF(ISBLANK('Appels de Fonds'!L4),"0",AS41)</f>
        <v>0</v>
      </c>
      <c r="AM41" s="395" t="str">
        <f>IF(ISBLANK('Appels de Fonds'!L6),"0",AS41)</f>
        <v>0</v>
      </c>
      <c r="AN41" s="395">
        <f t="shared" si="0"/>
        <v>0</v>
      </c>
      <c r="AO41" s="395" t="str">
        <f>IF(ISBLANK('Appels de Fonds'!L8),"0",AS41)</f>
        <v>0</v>
      </c>
      <c r="AP41" s="396" t="str">
        <f>IF(ISBLANK('Appels de Fonds'!L10),"0",AS41)</f>
        <v>0</v>
      </c>
      <c r="AQ41" s="395">
        <f t="shared" si="1"/>
        <v>0</v>
      </c>
      <c r="AR41" s="390">
        <f t="shared" si="2"/>
        <v>0</v>
      </c>
      <c r="AS41" s="393">
        <f t="shared" si="3"/>
        <v>0</v>
      </c>
      <c r="AT41" s="393">
        <f>IF(G41&gt;0,Prévisionnel!E13*G41/Copropriété!D20,Prévisionnel!E13*F41/Copropriété!D20)</f>
        <v>0</v>
      </c>
      <c r="AU41" s="393">
        <f>IF(I41&gt;0,Prévisionnel!E20*I41/Copropriété!E20,Prévisionnel!E20*H41/Copropriété!E20)</f>
        <v>0</v>
      </c>
      <c r="AV41" s="393">
        <f>IF(K41&gt;0,Prévisionnel!E25*K41/Copropriété!F20,Prévisionnel!E25*J41/Copropriété!F20)</f>
        <v>0</v>
      </c>
      <c r="AW41" s="393">
        <f>IF(M41&gt;0,Prévisionnel!E30*M41/Copropriété!G20,Prévisionnel!E30*L41/Copropriété!G20)</f>
        <v>0</v>
      </c>
      <c r="AX41" s="393">
        <f>IF(O41&gt;0,Prévisionnel!E35*O41/Copropriété!H20,Prévisionnel!E35*N41/Copropriété!H20)</f>
        <v>0</v>
      </c>
      <c r="AY41" s="393">
        <f>IF(Q41&gt;0,Prévisionnel!E38*Q41/Copropriété!I20,Prévisionnel!E38*P41/Copropriété!I20)</f>
        <v>0</v>
      </c>
      <c r="AZ41" s="391">
        <f>IF(S41&gt;0,Prévisionnel!E39*S41/Copropriété!J20,Prévisionnel!E39*R41/Copropriété!J20)</f>
        <v>0</v>
      </c>
      <c r="BA41" s="392">
        <f t="shared" si="4"/>
        <v>0</v>
      </c>
    </row>
    <row r="42" spans="1:53" ht="12.75">
      <c r="A42" s="156" t="str">
        <f>Copropriété!A21</f>
        <v>Lot n°4</v>
      </c>
      <c r="B42" s="386" t="str">
        <f>Copropriété!A22</f>
        <v>Etage : Appartement - Balcon</v>
      </c>
      <c r="C42" s="366" t="str">
        <f>Copropriété!C21</f>
        <v>SIMPLET</v>
      </c>
      <c r="D42" s="366">
        <f>Copropriété!C22</f>
        <v>0</v>
      </c>
      <c r="E42" s="387">
        <f>Copropriété!C23</f>
        <v>0</v>
      </c>
      <c r="F42" s="388">
        <f>IF(Copropriété!D5="Tantièmes",Copropriété!D21,0)</f>
        <v>181</v>
      </c>
      <c r="G42" s="389">
        <f>IF(Copropriété!D5="Prorata",Copropriété!D21,0)</f>
        <v>0</v>
      </c>
      <c r="H42" s="388">
        <f>IF(Copropriété!E5="Tantièmes",Copropriété!E21,0)</f>
        <v>181</v>
      </c>
      <c r="I42" s="389">
        <f>IF(Copropriété!E5="Prorata",Copropriété!E21,0)</f>
        <v>0</v>
      </c>
      <c r="J42" s="388">
        <f>IF(Copropriété!F5="Tantièmes",Copropriété!F21,0)</f>
        <v>0</v>
      </c>
      <c r="K42" s="389">
        <f>IF(Copropriété!F5="Prorata",Copropriété!F21,0)</f>
        <v>181</v>
      </c>
      <c r="L42" s="388">
        <f>IF(Copropriété!G5="Tantièmes",Copropriété!G21,0)</f>
        <v>0</v>
      </c>
      <c r="M42" s="389">
        <f>IF(Copropriété!G5="Prorata",Copropriété!G21,0)</f>
        <v>181</v>
      </c>
      <c r="N42" s="388">
        <f>IF(Copropriété!H5="Tantièmes",Copropriété!H21,0)</f>
        <v>0</v>
      </c>
      <c r="O42" s="389">
        <f>IF(Copropriété!H5="Prorata",Copropriété!H21,0)</f>
        <v>181</v>
      </c>
      <c r="P42" s="388">
        <f>IF(Copropriété!I5="Tantièmes",Copropriété!I21,0)</f>
        <v>0</v>
      </c>
      <c r="Q42" s="389">
        <f>IF(Copropriété!I5="Prorata",Copropriété!I21,0)</f>
        <v>181</v>
      </c>
      <c r="R42" s="388">
        <f>IF(Copropriété!J5="Tantièmes",Copropriété!J21,0)</f>
        <v>181</v>
      </c>
      <c r="S42" s="389">
        <f>IF(Copropriété!J5="Prorata",Copropriété!J21,0)</f>
        <v>0</v>
      </c>
      <c r="T42" s="390">
        <f>IF('Comptes Lots'!C91&lt;=0,'Comptes Lots'!C91,"")</f>
        <v>0</v>
      </c>
      <c r="U42" s="391">
        <f>IF('Comptes Lots'!C91&gt;=0,'Comptes Lots'!C91,"")</f>
        <v>0</v>
      </c>
      <c r="V42" s="390">
        <f>IF('Comptes Lots'!C90+'Comptes Lots'!B73&lt;=0,'Comptes Lots'!C90+'Comptes Lots'!B73,"")</f>
        <v>0</v>
      </c>
      <c r="W42" s="391">
        <f>IF('Comptes Lots'!C90+'Comptes Lots'!B73&gt;=0,'Comptes Lots'!C90+'Comptes Lots'!B73,"")</f>
        <v>0</v>
      </c>
      <c r="X42" s="392">
        <f>'Comptes Lots'!G91</f>
        <v>0</v>
      </c>
      <c r="Y42" s="390">
        <f>-('Comptes Lots'!C86)</f>
        <v>0</v>
      </c>
      <c r="Z42" s="393">
        <f>-('Comptes Lots'!D86)</f>
        <v>0</v>
      </c>
      <c r="AA42" s="393">
        <f>-('Comptes Lots'!E86)</f>
        <v>0</v>
      </c>
      <c r="AB42" s="393">
        <f>-('Comptes Lots'!F86)</f>
        <v>0</v>
      </c>
      <c r="AC42" s="393">
        <f>-('Comptes Lots'!G86)</f>
        <v>0</v>
      </c>
      <c r="AD42" s="393">
        <f>-('Comptes Lots'!H86)</f>
        <v>0</v>
      </c>
      <c r="AE42" s="391">
        <f>-('Comptes Lots'!I86)</f>
        <v>0</v>
      </c>
      <c r="AF42" s="390">
        <f>'Comptes Lots'!J74+'Comptes Lots'!J75+'Comptes Lots'!J76</f>
        <v>0</v>
      </c>
      <c r="AG42" s="393">
        <f>'Comptes Lots'!J77+'Comptes Lots'!J78+'Comptes Lots'!J79+'Comptes Lots'!J80</f>
        <v>0</v>
      </c>
      <c r="AH42" s="393">
        <f>'Comptes Lots'!J74+'Comptes Lots'!J75+'Comptes Lots'!J76+'Comptes Lots'!J77+'Comptes Lots'!J78+'Comptes Lots'!J79</f>
        <v>0</v>
      </c>
      <c r="AI42" s="393">
        <f>'Comptes Lots'!J80+'Comptes Lots'!J81+'Comptes Lots'!J82</f>
        <v>0</v>
      </c>
      <c r="AJ42" s="393">
        <f>'Comptes Lots'!J83+'Comptes Lots'!J84+'Comptes Lots'!J85</f>
        <v>0</v>
      </c>
      <c r="AK42" s="391">
        <f>'Comptes Lots'!J80+'Comptes Lots'!J81+'Comptes Lots'!J82+'Comptes Lots'!J83+'Comptes Lots'!J84+'Comptes Lots'!J85</f>
        <v>0</v>
      </c>
      <c r="AL42" s="394" t="str">
        <f>IF(ISBLANK('Appels de Fonds'!M4),"0",AS42)</f>
        <v>0</v>
      </c>
      <c r="AM42" s="395" t="str">
        <f>IF(ISBLANK('Appels de Fonds'!M6),"0",AS42)</f>
        <v>0</v>
      </c>
      <c r="AN42" s="395">
        <f t="shared" si="0"/>
        <v>0</v>
      </c>
      <c r="AO42" s="395" t="str">
        <f>IF(ISBLANK('Appels de Fonds'!M8),"0",AS42)</f>
        <v>0</v>
      </c>
      <c r="AP42" s="396" t="str">
        <f>IF(ISBLANK('Appels de Fonds'!M10),"0",AS42)</f>
        <v>0</v>
      </c>
      <c r="AQ42" s="395">
        <f t="shared" si="1"/>
        <v>0</v>
      </c>
      <c r="AR42" s="390">
        <f t="shared" si="2"/>
        <v>0</v>
      </c>
      <c r="AS42" s="393">
        <f t="shared" si="3"/>
        <v>0</v>
      </c>
      <c r="AT42" s="393">
        <f>IF(G42&gt;0,Prévisionnel!E13*G42/Copropriété!D25,Prévisionnel!E13*F42/Copropriété!D25)</f>
        <v>0</v>
      </c>
      <c r="AU42" s="393">
        <f>IF(I42&gt;0,Prévisionnel!E20*I42/Copropriété!E25,Prévisionnel!E20*H42/Copropriété!E25)</f>
        <v>0</v>
      </c>
      <c r="AV42" s="393">
        <f>IF(K42&gt;0,Prévisionnel!E25*K42/Copropriété!F25,Prévisionnel!E25*J42/Copropriété!F25)</f>
        <v>0</v>
      </c>
      <c r="AW42" s="393">
        <f>IF(M42&gt;0,Prévisionnel!E30*M42/Copropriété!G25,Prévisionnel!E30*L42/Copropriété!G25)</f>
        <v>0</v>
      </c>
      <c r="AX42" s="393">
        <f>IF(O42&gt;0,Prévisionnel!E35*O42/Copropriété!H25,Prévisionnel!E35*N42/Copropriété!H25)</f>
        <v>0</v>
      </c>
      <c r="AY42" s="393">
        <f>IF(Q42&gt;0,Prévisionnel!E38*Q42/Copropriété!I25,Prévisionnel!E38*P42/Copropriété!I25)</f>
        <v>0</v>
      </c>
      <c r="AZ42" s="391">
        <f>IF(S42&gt;0,Prévisionnel!E39*S42/Copropriété!J25,Prévisionnel!E39*R42/Copropriété!J25)</f>
        <v>0</v>
      </c>
      <c r="BA42" s="392">
        <f t="shared" si="4"/>
        <v>0</v>
      </c>
    </row>
    <row r="43" spans="1:53" ht="12.75">
      <c r="A43" s="156" t="str">
        <f>Copropriété!A26</f>
        <v>Lot n°5</v>
      </c>
      <c r="B43" s="386" t="str">
        <f>Copropriété!A27</f>
        <v>Etage : Appartement</v>
      </c>
      <c r="C43" s="366" t="str">
        <f>Copropriété!C26</f>
        <v>DORMEUR</v>
      </c>
      <c r="D43" s="366">
        <f>Copropriété!C27</f>
        <v>0</v>
      </c>
      <c r="E43" s="387">
        <f>Copropriété!C28</f>
        <v>0</v>
      </c>
      <c r="F43" s="388">
        <f>IF(Copropriété!D5="Tantièmes",Copropriété!D26,0)</f>
        <v>223</v>
      </c>
      <c r="G43" s="389">
        <f>IF(Copropriété!D5="Prorata",Copropriété!D26,0)</f>
        <v>0</v>
      </c>
      <c r="H43" s="388">
        <f>IF(Copropriété!E5="Tantièmes",Copropriété!E26,0)</f>
        <v>223</v>
      </c>
      <c r="I43" s="389">
        <f>IF(Copropriété!E5="Prorata",Copropriété!E26,0)</f>
        <v>0</v>
      </c>
      <c r="J43" s="388">
        <f>IF(Copropriété!F5="Tantièmes",Copropriété!F26,0)</f>
        <v>0</v>
      </c>
      <c r="K43" s="389">
        <f>IF(Copropriété!F5="Prorata",Copropriété!F26,0)</f>
        <v>223</v>
      </c>
      <c r="L43" s="388">
        <f>IF(Copropriété!G5="Tantièmes",Copropriété!G26,0)</f>
        <v>0</v>
      </c>
      <c r="M43" s="389">
        <f>IF(Copropriété!G5="Prorata",Copropriété!G26,0)</f>
        <v>223</v>
      </c>
      <c r="N43" s="388">
        <f>IF(Copropriété!H5="Tantièmes",Copropriété!H26,0)</f>
        <v>0</v>
      </c>
      <c r="O43" s="389">
        <f>IF(Copropriété!H5="Prorata",Copropriété!H26,0)</f>
        <v>223</v>
      </c>
      <c r="P43" s="388">
        <f>IF(Copropriété!I5="Tantièmes",Copropriété!I26,0)</f>
        <v>0</v>
      </c>
      <c r="Q43" s="389">
        <f>IF(Copropriété!I5="Prorata",Copropriété!I26,0)</f>
        <v>223</v>
      </c>
      <c r="R43" s="388">
        <f>IF(Copropriété!J5="Tantièmes",Copropriété!J26,0)</f>
        <v>223</v>
      </c>
      <c r="S43" s="389">
        <f>IF(Copropriété!J5="Prorata",Copropriété!J26,0)</f>
        <v>0</v>
      </c>
      <c r="T43" s="390">
        <f>IF('Comptes Lots'!C114&lt;=0,'Comptes Lots'!C114,"")</f>
        <v>0</v>
      </c>
      <c r="U43" s="391">
        <f>IF('Comptes Lots'!C114&gt;=0,'Comptes Lots'!C114,"")</f>
        <v>0</v>
      </c>
      <c r="V43" s="390">
        <f>IF('Comptes Lots'!C113+'Comptes Lots'!B96&lt;=0,'Comptes Lots'!C113+'Comptes Lots'!B96,"")</f>
        <v>0</v>
      </c>
      <c r="W43" s="391">
        <f>IF('Comptes Lots'!C113+'Comptes Lots'!B96&gt;=0,'Comptes Lots'!C113+'Comptes Lots'!B96,"")</f>
        <v>0</v>
      </c>
      <c r="X43" s="392">
        <f>'Comptes Lots'!G114</f>
        <v>0</v>
      </c>
      <c r="Y43" s="390">
        <f>-('Comptes Lots'!C109)</f>
        <v>0</v>
      </c>
      <c r="Z43" s="393">
        <f>-('Comptes Lots'!D109)</f>
        <v>0</v>
      </c>
      <c r="AA43" s="393">
        <f>-('Comptes Lots'!E109)</f>
        <v>0</v>
      </c>
      <c r="AB43" s="393">
        <f>-('Comptes Lots'!F109)</f>
        <v>0</v>
      </c>
      <c r="AC43" s="393">
        <f>-('Comptes Lots'!G109)</f>
        <v>0</v>
      </c>
      <c r="AD43" s="393">
        <f>-('Comptes Lots'!H109)</f>
        <v>0</v>
      </c>
      <c r="AE43" s="391">
        <f>-('Comptes Lots'!I109)</f>
        <v>0</v>
      </c>
      <c r="AF43" s="390">
        <f>'Comptes Lots'!J97+'Comptes Lots'!J98+'Comptes Lots'!J99</f>
        <v>0</v>
      </c>
      <c r="AG43" s="393">
        <f>'Comptes Lots'!J100+'Comptes Lots'!J101+'Comptes Lots'!J102</f>
        <v>0</v>
      </c>
      <c r="AH43" s="393">
        <f>'Comptes Lots'!J97+'Comptes Lots'!J98+'Comptes Lots'!J99+'Comptes Lots'!J100+'Comptes Lots'!J101+'Comptes Lots'!J102</f>
        <v>0</v>
      </c>
      <c r="AI43" s="393">
        <f>'Comptes Lots'!J103+'Comptes Lots'!J104+'Comptes Lots'!J105</f>
        <v>0</v>
      </c>
      <c r="AJ43" s="393">
        <f>'Comptes Lots'!J106+'Comptes Lots'!J107+'Comptes Lots'!J108</f>
        <v>0</v>
      </c>
      <c r="AK43" s="391">
        <f>'Comptes Lots'!J103+'Comptes Lots'!J104+'Comptes Lots'!J105+'Comptes Lots'!J106+'Comptes Lots'!J107+'Comptes Lots'!J108</f>
        <v>0</v>
      </c>
      <c r="AL43" s="394" t="str">
        <f>IF(ISBLANK('Appels de Fonds'!N4),"0",AS43)</f>
        <v>0</v>
      </c>
      <c r="AM43" s="395" t="str">
        <f>IF(ISBLANK('Appels de Fonds'!N6),"0",AS43)</f>
        <v>0</v>
      </c>
      <c r="AN43" s="395">
        <f t="shared" si="0"/>
        <v>0</v>
      </c>
      <c r="AO43" s="395" t="str">
        <f>IF(ISBLANK('Appels de Fonds'!N8),"0",AS43)</f>
        <v>0</v>
      </c>
      <c r="AP43" s="396" t="str">
        <f>IF(ISBLANK('Appels de Fonds'!N10),"0",AS43)</f>
        <v>0</v>
      </c>
      <c r="AQ43" s="395">
        <f t="shared" si="1"/>
        <v>0</v>
      </c>
      <c r="AR43" s="390">
        <f t="shared" si="2"/>
        <v>0</v>
      </c>
      <c r="AS43" s="393">
        <f t="shared" si="3"/>
        <v>0</v>
      </c>
      <c r="AT43" s="393">
        <f>IF(G43&gt;0,Prévisionnel!E13*G43/Copropriété!D30,Prévisionnel!E13*F43/Copropriété!D30)</f>
        <v>0</v>
      </c>
      <c r="AU43" s="393">
        <f>IF(I43&gt;0,Prévisionnel!E20*I43/Copropriété!E30,Prévisionnel!E20*H43/Copropriété!E30)</f>
        <v>0</v>
      </c>
      <c r="AV43" s="393">
        <f>IF(K43&gt;0,Prévisionnel!E25*K43/Copropriété!F30,Prévisionnel!E25*J43/Copropriété!F30)</f>
        <v>0</v>
      </c>
      <c r="AW43" s="393">
        <f>IF(M43&gt;0,Prévisionnel!E30*M43/Copropriété!G30,Prévisionnel!E30*L43/Copropriété!G30)</f>
        <v>0</v>
      </c>
      <c r="AX43" s="393">
        <f>IF(O43&gt;0,Prévisionnel!E35*O43/Copropriété!H30,Prévisionnel!E35*N43/Copropriété!H30)</f>
        <v>0</v>
      </c>
      <c r="AY43" s="393">
        <f>IF(Q43&gt;0,Prévisionnel!E38*Q43/Copropriété!I30,Prévisionnel!E38*P43/Copropriété!I30)</f>
        <v>0</v>
      </c>
      <c r="AZ43" s="391">
        <f>IF(S43&gt;0,Prévisionnel!E39*S43/Copropriété!J30,Prévisionnel!E39*R43/Copropriété!J30)</f>
        <v>0</v>
      </c>
      <c r="BA43" s="392">
        <f t="shared" si="4"/>
        <v>0</v>
      </c>
    </row>
    <row r="44" spans="1:53" ht="12.75">
      <c r="A44" s="156" t="str">
        <f>Copropriété!A31</f>
        <v>Lot n°6</v>
      </c>
      <c r="B44" s="386" t="str">
        <f>Copropriété!A32</f>
        <v>Combles : Appartement - Balcon</v>
      </c>
      <c r="C44" s="366" t="str">
        <f>Copropriété!C31</f>
        <v>PROF</v>
      </c>
      <c r="D44" s="366">
        <f>Copropriété!C32</f>
        <v>0</v>
      </c>
      <c r="E44" s="387">
        <f>Copropriété!C33</f>
        <v>0</v>
      </c>
      <c r="F44" s="388">
        <f>IF(Copropriété!D5="Tantièmes",Copropriété!D31,0)</f>
        <v>182</v>
      </c>
      <c r="G44" s="389">
        <f>IF(Copropriété!D5="Prorata",Copropriété!D31,0)</f>
        <v>0</v>
      </c>
      <c r="H44" s="388">
        <f>IF(Copropriété!E5="Tantièmes",Copropriété!E31,0)</f>
        <v>182</v>
      </c>
      <c r="I44" s="389">
        <f>IF(Copropriété!E5="Prorata",Copropriété!E31,0)</f>
        <v>0</v>
      </c>
      <c r="J44" s="388">
        <f>IF(Copropriété!F5="Tantièmes",Copropriété!F31,0)</f>
        <v>0</v>
      </c>
      <c r="K44" s="389">
        <f>IF(Copropriété!F5="Prorata",Copropriété!F31,0)</f>
        <v>182</v>
      </c>
      <c r="L44" s="388">
        <f>IF(Copropriété!G5="Tantièmes",Copropriété!G31,0)</f>
        <v>0</v>
      </c>
      <c r="M44" s="389">
        <f>IF(Copropriété!G5="Prorata",Copropriété!G31,0)</f>
        <v>182</v>
      </c>
      <c r="N44" s="388">
        <f>IF(Copropriété!H5="Tantièmes",Copropriété!H31,0)</f>
        <v>0</v>
      </c>
      <c r="O44" s="389">
        <f>IF(Copropriété!H5="Prorata",Copropriété!H31,0)</f>
        <v>182</v>
      </c>
      <c r="P44" s="388">
        <f>IF(Copropriété!I5="Tantièmes",Copropriété!I31,0)</f>
        <v>0</v>
      </c>
      <c r="Q44" s="389">
        <f>IF(Copropriété!I5="Prorata",Copropriété!I31,0)</f>
        <v>182</v>
      </c>
      <c r="R44" s="388">
        <f>IF(Copropriété!J5="Tantièmes",Copropriété!J31,0)</f>
        <v>182</v>
      </c>
      <c r="S44" s="389">
        <f>IF(Copropriété!J5="Prorata",Copropriété!J31,0)</f>
        <v>0</v>
      </c>
      <c r="T44" s="390">
        <f>IF('Comptes Lots'!C137&lt;=0,'Comptes Lots'!C137,"")</f>
        <v>0</v>
      </c>
      <c r="U44" s="391">
        <f>IF('Comptes Lots'!C137&gt;=0,'Comptes Lots'!C137,"")</f>
        <v>0</v>
      </c>
      <c r="V44" s="390">
        <f>IF('Comptes Lots'!C136+'Comptes Lots'!B119&lt;=0,'Comptes Lots'!C136+'Comptes Lots'!B119,"")</f>
        <v>0</v>
      </c>
      <c r="W44" s="391">
        <f>IF('Comptes Lots'!C136+'Comptes Lots'!B119&gt;=0,'Comptes Lots'!C136+'Comptes Lots'!B119,"")</f>
        <v>0</v>
      </c>
      <c r="X44" s="392">
        <f>'Comptes Lots'!G137</f>
        <v>0</v>
      </c>
      <c r="Y44" s="390">
        <f>-('Comptes Lots'!C132)</f>
        <v>0</v>
      </c>
      <c r="Z44" s="393">
        <f>-('Comptes Lots'!D132)</f>
        <v>0</v>
      </c>
      <c r="AA44" s="393">
        <f>-('Comptes Lots'!E132)</f>
        <v>0</v>
      </c>
      <c r="AB44" s="393">
        <f>-('Comptes Lots'!F132)</f>
        <v>0</v>
      </c>
      <c r="AC44" s="393">
        <f>-('Comptes Lots'!G132)</f>
        <v>0</v>
      </c>
      <c r="AD44" s="393">
        <f>-('Comptes Lots'!H132)</f>
        <v>0</v>
      </c>
      <c r="AE44" s="391">
        <f>-('Comptes Lots'!I132)</f>
        <v>0</v>
      </c>
      <c r="AF44" s="390">
        <f>'Comptes Lots'!J120+'Comptes Lots'!J121+'Comptes Lots'!J122</f>
        <v>0</v>
      </c>
      <c r="AG44" s="393">
        <f>'Comptes Lots'!J123+'Comptes Lots'!J124+'Comptes Lots'!J125</f>
        <v>0</v>
      </c>
      <c r="AH44" s="393">
        <f>'Comptes Lots'!J120+'Comptes Lots'!J121+'Comptes Lots'!J122+'Comptes Lots'!J123+'Comptes Lots'!J124+'Comptes Lots'!J125</f>
        <v>0</v>
      </c>
      <c r="AI44" s="393">
        <f>'Comptes Lots'!J126+'Comptes Lots'!J127+'Comptes Lots'!J128</f>
        <v>0</v>
      </c>
      <c r="AJ44" s="393">
        <f>'Comptes Lots'!J129+'Comptes Lots'!J130+'Comptes Lots'!J131</f>
        <v>0</v>
      </c>
      <c r="AK44" s="391">
        <f>'Comptes Lots'!J126+'Comptes Lots'!J127+'Comptes Lots'!J128+'Comptes Lots'!J129+'Comptes Lots'!J130+'Comptes Lots'!J131</f>
        <v>0</v>
      </c>
      <c r="AL44" s="394" t="str">
        <f>IF(ISBLANK('Appels de Fonds'!O4),"0",AS44)</f>
        <v>0</v>
      </c>
      <c r="AM44" s="395" t="str">
        <f>IF(ISBLANK('Appels de Fonds'!O6),"0",AS44)</f>
        <v>0</v>
      </c>
      <c r="AN44" s="395">
        <f t="shared" si="0"/>
        <v>0</v>
      </c>
      <c r="AO44" s="395" t="str">
        <f>IF(ISBLANK('Appels de Fonds'!O8),"0",AS44)</f>
        <v>0</v>
      </c>
      <c r="AP44" s="396" t="str">
        <f>IF(ISBLANK('Appels de Fonds'!O10),"0",AS44)</f>
        <v>0</v>
      </c>
      <c r="AQ44" s="395">
        <f t="shared" si="1"/>
        <v>0</v>
      </c>
      <c r="AR44" s="390">
        <f t="shared" si="2"/>
        <v>0</v>
      </c>
      <c r="AS44" s="393">
        <f t="shared" si="3"/>
        <v>0</v>
      </c>
      <c r="AT44" s="393">
        <f>IF(G44&gt;0,Prévisionnel!E13*G44/Copropriété!D35,Prévisionnel!E13*F44/Copropriété!D35)</f>
        <v>0</v>
      </c>
      <c r="AU44" s="393">
        <f>IF(I44&gt;0,Prévisionnel!E20*I44/Copropriété!E35,Prévisionnel!E20*H44/Copropriété!E35)</f>
        <v>0</v>
      </c>
      <c r="AV44" s="393">
        <f>IF(K44&gt;0,Prévisionnel!E25*K44/Copropriété!F35,Prévisionnel!E25*J44/Copropriété!F35)</f>
        <v>0</v>
      </c>
      <c r="AW44" s="393">
        <f>IF(M44&gt;0,Prévisionnel!E30*M44/Copropriété!G35,Prévisionnel!E30*L44/Copropriété!G35)</f>
        <v>0</v>
      </c>
      <c r="AX44" s="393">
        <f>IF(O44&gt;0,Prévisionnel!E35*O44/Copropriété!H35,Prévisionnel!E35*N44/Copropriété!H35)</f>
        <v>0</v>
      </c>
      <c r="AY44" s="393">
        <f>IF(Q44&gt;0,Prévisionnel!E38*Q44/Copropriété!I35,Prévisionnel!E38*P44/Copropriété!I35)</f>
        <v>0</v>
      </c>
      <c r="AZ44" s="391">
        <f>IF(S44&gt;0,Prévisionnel!E39*S44/Copropriété!J35,Prévisionnel!E39*R44/Copropriété!J35)</f>
        <v>0</v>
      </c>
      <c r="BA44" s="392">
        <f t="shared" si="4"/>
        <v>0</v>
      </c>
    </row>
    <row r="45" spans="1:53" ht="12.75">
      <c r="A45" s="156" t="str">
        <f>Copropriété!A36</f>
        <v>Lot n°7</v>
      </c>
      <c r="B45" s="386" t="str">
        <f>Copropriété!A37</f>
        <v>RDC : Garage</v>
      </c>
      <c r="C45" s="366" t="str">
        <f>Copropriété!C36</f>
        <v>TIMIDE</v>
      </c>
      <c r="D45" s="366">
        <f>Copropriété!C37</f>
        <v>0</v>
      </c>
      <c r="E45" s="387">
        <f>Copropriété!C38</f>
        <v>0</v>
      </c>
      <c r="F45" s="388">
        <f>IF(Copropriété!D5="Tantièmes",Copropriété!D36,0)</f>
        <v>18</v>
      </c>
      <c r="G45" s="389">
        <f>IF(Copropriété!D5="Prorata",Copropriété!D36,0)</f>
        <v>0</v>
      </c>
      <c r="H45" s="388">
        <f>IF(Copropriété!E5="Tantièmes",Copropriété!E36,0)</f>
        <v>18</v>
      </c>
      <c r="I45" s="389">
        <f>IF(Copropriété!E5="Prorata",Copropriété!E36,0)</f>
        <v>0</v>
      </c>
      <c r="J45" s="388">
        <f>IF(Copropriété!F5="Tantièmes",Copropriété!F36,0)</f>
        <v>0</v>
      </c>
      <c r="K45" s="389">
        <f>IF(Copropriété!F5="Prorata",Copropriété!F36,0)</f>
        <v>18</v>
      </c>
      <c r="L45" s="388">
        <f>IF(Copropriété!G5="Tantièmes",Copropriété!G36,0)</f>
        <v>0</v>
      </c>
      <c r="M45" s="389">
        <f>IF(Copropriété!G5="Prorata",Copropriété!G36,0)</f>
        <v>18</v>
      </c>
      <c r="N45" s="388">
        <f>IF(Copropriété!H5="Tantièmes",Copropriété!H36,0)</f>
        <v>0</v>
      </c>
      <c r="O45" s="389">
        <f>IF(Copropriété!H5="Prorata",Copropriété!H36,0)</f>
        <v>18</v>
      </c>
      <c r="P45" s="388">
        <f>IF(Copropriété!I5="Tantièmes",Copropriété!I36,0)</f>
        <v>0</v>
      </c>
      <c r="Q45" s="389">
        <f>IF(Copropriété!I5="Prorata",Copropriété!I36,0)</f>
        <v>18</v>
      </c>
      <c r="R45" s="388">
        <f>IF(Copropriété!J5="Tantièmes",Copropriété!J36,0)</f>
        <v>18</v>
      </c>
      <c r="S45" s="389">
        <f>IF(Copropriété!J5="Prorata",Copropriété!J36,0)</f>
        <v>0</v>
      </c>
      <c r="T45" s="390">
        <f>IF('Comptes Lots'!C160&lt;=0,'Comptes Lots'!C160,"")</f>
        <v>0</v>
      </c>
      <c r="U45" s="391">
        <f>IF('Comptes Lots'!C160&gt;=0,'Comptes Lots'!C160,"")</f>
        <v>0</v>
      </c>
      <c r="V45" s="390">
        <f>IF('Comptes Lots'!C159+'Comptes Lots'!B142&lt;=0,'Comptes Lots'!C159+'Comptes Lots'!B142,"")</f>
        <v>0</v>
      </c>
      <c r="W45" s="391">
        <f>IF('Comptes Lots'!C159+'Comptes Lots'!B142&gt;=0,'Comptes Lots'!C159+'Comptes Lots'!B142,"")</f>
        <v>0</v>
      </c>
      <c r="X45" s="392">
        <f>'Comptes Lots'!G160</f>
        <v>0</v>
      </c>
      <c r="Y45" s="390">
        <f>-('Comptes Lots'!C155)</f>
        <v>0</v>
      </c>
      <c r="Z45" s="393">
        <f>-('Comptes Lots'!D155)</f>
        <v>0</v>
      </c>
      <c r="AA45" s="393">
        <f>-('Comptes Lots'!E1155)</f>
        <v>0</v>
      </c>
      <c r="AB45" s="393">
        <f>-('Comptes Lots'!F155)</f>
        <v>0</v>
      </c>
      <c r="AC45" s="393">
        <f>-('Comptes Lots'!G155)</f>
        <v>0</v>
      </c>
      <c r="AD45" s="393">
        <f>-('Comptes Lots'!H155)</f>
        <v>0</v>
      </c>
      <c r="AE45" s="391">
        <f>-('Comptes Lots'!I155)</f>
        <v>0</v>
      </c>
      <c r="AF45" s="390">
        <f>'Comptes Lots'!J143+'Comptes Lots'!J144+'Comptes Lots'!J145</f>
        <v>0</v>
      </c>
      <c r="AG45" s="393">
        <f>'Comptes Lots'!J146+'Comptes Lots'!J147+'Comptes Lots'!J148</f>
        <v>0</v>
      </c>
      <c r="AH45" s="393">
        <f>'Comptes Lots'!J143+'Comptes Lots'!J144+'Comptes Lots'!J145+'Comptes Lots'!J146+'Comptes Lots'!J147+'Comptes Lots'!J148</f>
        <v>0</v>
      </c>
      <c r="AI45" s="393">
        <f>'Comptes Lots'!J149+'Comptes Lots'!J150+'Comptes Lots'!J151</f>
        <v>0</v>
      </c>
      <c r="AJ45" s="393">
        <f>'Comptes Lots'!J152+'Comptes Lots'!J153+'Comptes Lots'!J154</f>
        <v>0</v>
      </c>
      <c r="AK45" s="391">
        <f>'Comptes Lots'!J149+'Comptes Lots'!J150+'Comptes Lots'!J151+'Comptes Lots'!J152+'Comptes Lots'!J153+'Comptes Lots'!J154</f>
        <v>0</v>
      </c>
      <c r="AL45" s="394" t="str">
        <f>IF(ISBLANK('Appels de Fonds'!P4),"0",AS45)</f>
        <v>0</v>
      </c>
      <c r="AM45" s="395" t="str">
        <f>IF(ISBLANK('Appels de Fonds'!P6),"0",AS45)</f>
        <v>0</v>
      </c>
      <c r="AN45" s="395">
        <f t="shared" si="0"/>
        <v>0</v>
      </c>
      <c r="AO45" s="395" t="str">
        <f>IF(ISBLANK('Appels de Fonds'!P8),"0",AS45)</f>
        <v>0</v>
      </c>
      <c r="AP45" s="396" t="str">
        <f>IF(ISBLANK('Appels de Fonds'!P10),"0",AS45)</f>
        <v>0</v>
      </c>
      <c r="AQ45" s="395">
        <f t="shared" si="1"/>
        <v>0</v>
      </c>
      <c r="AR45" s="390">
        <f t="shared" si="2"/>
        <v>0</v>
      </c>
      <c r="AS45" s="393">
        <f t="shared" si="3"/>
        <v>0</v>
      </c>
      <c r="AT45" s="393">
        <f>IF(G43&gt;0,Prévisionnel!E13*G45/Copropriété!D40,Prévisionnel!E13*F45/Copropriété!D40)</f>
        <v>0</v>
      </c>
      <c r="AU45" s="393">
        <f>IF(I45&gt;0,Prévisionnel!E20*I45/Copropriété!E40,Prévisionnel!E20*H45/Copropriété!E40)</f>
        <v>0</v>
      </c>
      <c r="AV45" s="393">
        <f>IF(K45&gt;0,Prévisionnel!E25*K45/Copropriété!F40,Prévisionnel!E25*J45/Copropriété!F40)</f>
        <v>0</v>
      </c>
      <c r="AW45" s="393">
        <f>IF(M45&gt;0,Prévisionnel!E30*M45/Copropriété!G40,Prévisionnel!E30*L45/Copropriété!G40)</f>
        <v>0</v>
      </c>
      <c r="AX45" s="393">
        <f>IF(O45&gt;0,Prévisionnel!E35*O45/Copropriété!H40,Prévisionnel!E35*N45/Copropriété!H40)</f>
        <v>0</v>
      </c>
      <c r="AY45" s="393">
        <f>IF(Q45&gt;0,Prévisionnel!E38*Q45/Copropriété!I40,Prévisionnel!E38*P45/Copropriété!I40)</f>
        <v>0</v>
      </c>
      <c r="AZ45" s="391">
        <f>IF(S45&gt;0,Prévisionnel!E39*S45/Copropriété!J40,Prévisionnel!E39*R45/Copropriété!J40)</f>
        <v>0</v>
      </c>
      <c r="BA45" s="392">
        <f t="shared" si="4"/>
        <v>0</v>
      </c>
    </row>
    <row r="46" spans="1:53" ht="12.75">
      <c r="A46" s="156" t="str">
        <f>Copropriété!A63</f>
        <v>Lot n°M</v>
      </c>
      <c r="B46" s="386">
        <f>Copropriété!A64</f>
        <v>0</v>
      </c>
      <c r="C46" s="366">
        <f>Copropriété!C63</f>
        <v>0</v>
      </c>
      <c r="D46" s="366">
        <f>Copropriété!C64</f>
        <v>0</v>
      </c>
      <c r="E46" s="387">
        <f>Copropriété!C65</f>
        <v>0</v>
      </c>
      <c r="F46" s="388">
        <f>IF(Copropriété!D5="Tantièmes",Copropriété!D63,0)</f>
        <v>0</v>
      </c>
      <c r="G46" s="389">
        <f>IF(Copropriété!D5="Prorata",Copropriété!D63,0)</f>
        <v>0</v>
      </c>
      <c r="H46" s="388">
        <f>IF(Copropriété!E5="Tantièmes",Copropriété!E63,0)</f>
        <v>0</v>
      </c>
      <c r="I46" s="389">
        <f>IF(Copropriété!E5="Prorata",Copropriété!E63,0)</f>
        <v>0</v>
      </c>
      <c r="J46" s="388">
        <f>IF(Copropriété!F5="Tantièmes",Copropriété!F63,0)</f>
        <v>0</v>
      </c>
      <c r="K46" s="389">
        <f>IF(Copropriété!F5="Prorata",Copropriété!F63,0)</f>
        <v>0</v>
      </c>
      <c r="L46" s="388">
        <f>IF(Copropriété!G5="Tantièmes",Copropriété!G63,0)</f>
        <v>0</v>
      </c>
      <c r="M46" s="389">
        <f>IF(Copropriété!G5="Prorata",Copropriété!G63,0)</f>
        <v>0</v>
      </c>
      <c r="N46" s="388">
        <f>IF(Copropriété!H5="Tantièmes",Copropriété!H63,0)</f>
        <v>0</v>
      </c>
      <c r="O46" s="389">
        <f>IF(Copropriété!H5="Prorata",Copropriété!H63,0)</f>
        <v>0</v>
      </c>
      <c r="P46" s="388">
        <f>IF(Copropriété!I5="Tantièmes",Copropriété!I63,0)</f>
        <v>0</v>
      </c>
      <c r="Q46" s="389">
        <f>IF(Copropriété!I5="Prorata",Copropriété!I63,0)</f>
        <v>0</v>
      </c>
      <c r="R46" s="388">
        <f>IF(Copropriété!J5="Tantièmes",Copropriété!J63,0)</f>
        <v>0</v>
      </c>
      <c r="S46" s="389">
        <f>IF(Copropriété!J5="Prorata",Copropriété!J63,0)</f>
        <v>0</v>
      </c>
      <c r="T46" s="390">
        <f>IF('Comptes Lots'!C183&lt;=0,'Comptes Lots'!C183,"")</f>
        <v>0</v>
      </c>
      <c r="U46" s="391">
        <f>IF('Comptes Lots'!C183&gt;=0,'Comptes Lots'!C183,"")</f>
        <v>0</v>
      </c>
      <c r="V46" s="390">
        <f>IF('Comptes Lots'!C182+'Comptes Lots'!B165&lt;=0,'Comptes Lots'!C182+'Comptes Lots'!B165,"")</f>
        <v>0</v>
      </c>
      <c r="W46" s="391">
        <f>IF('Comptes Lots'!C182+'Comptes Lots'!B165&gt;=0,'Comptes Lots'!C182+'Comptes Lots'!B165,"")</f>
        <v>0</v>
      </c>
      <c r="X46" s="392">
        <f>'Comptes Lots'!G183</f>
        <v>0</v>
      </c>
      <c r="Y46" s="390">
        <f>-('Comptes Lots'!C178)</f>
        <v>0</v>
      </c>
      <c r="Z46" s="393">
        <f>-('Comptes Lots'!D178)</f>
        <v>0</v>
      </c>
      <c r="AA46" s="393">
        <f>-('Comptes Lots'!E178)</f>
        <v>0</v>
      </c>
      <c r="AB46" s="393">
        <f>-('Comptes Lots'!F178)</f>
        <v>0</v>
      </c>
      <c r="AC46" s="393">
        <f>-('Comptes Lots'!G178)</f>
        <v>0</v>
      </c>
      <c r="AD46" s="393">
        <f>-('Comptes Lots'!H178)</f>
        <v>0</v>
      </c>
      <c r="AE46" s="391">
        <f>-('Comptes Lots'!I178)</f>
        <v>0</v>
      </c>
      <c r="AF46" s="390">
        <f>'Comptes Lots'!J166+'Comptes Lots'!J167+'Comptes Lots'!J168</f>
        <v>0</v>
      </c>
      <c r="AG46" s="393">
        <f>'Comptes Lots'!J169+'Comptes Lots'!J170+'Comptes Lots'!J171</f>
        <v>0</v>
      </c>
      <c r="AH46" s="393">
        <f>'Comptes Lots'!J166+'Comptes Lots'!J167+'Comptes Lots'!J168+'Comptes Lots'!J169+'Comptes Lots'!J170+'Comptes Lots'!J171</f>
        <v>0</v>
      </c>
      <c r="AI46" s="393">
        <f>'Comptes Lots'!J172+'Comptes Lots'!J173+'Comptes Lots'!J174</f>
        <v>0</v>
      </c>
      <c r="AJ46" s="393">
        <f>'Comptes Lots'!J175+'Comptes Lots'!J176+'Comptes Lots'!J177</f>
        <v>0</v>
      </c>
      <c r="AK46" s="391">
        <f>'Comptes Lots'!J172+'Comptes Lots'!J173+'Comptes Lots'!J174+'Comptes Lots'!J175+'Comptes Lots'!J176+'Comptes Lots'!J177</f>
        <v>0</v>
      </c>
      <c r="AL46" s="394" t="str">
        <f>IF(ISBLANK('Appels de Fonds'!Q4),"0",AS46)</f>
        <v>0</v>
      </c>
      <c r="AM46" s="395" t="str">
        <f>IF(ISBLANK('Appels de Fonds'!Q6),"0",AS46)</f>
        <v>0</v>
      </c>
      <c r="AN46" s="395">
        <f t="shared" si="0"/>
        <v>0</v>
      </c>
      <c r="AO46" s="395" t="str">
        <f>IF(ISBLANK('Appels de Fonds'!Q8),"0",AS46)</f>
        <v>0</v>
      </c>
      <c r="AP46" s="396" t="str">
        <f>IF(ISBLANK('Appels de Fonds'!Q10),"0",AS46)</f>
        <v>0</v>
      </c>
      <c r="AQ46" s="395">
        <f t="shared" si="1"/>
        <v>0</v>
      </c>
      <c r="AR46" s="390">
        <f t="shared" si="2"/>
        <v>0</v>
      </c>
      <c r="AS46" s="393">
        <f t="shared" si="3"/>
        <v>0</v>
      </c>
      <c r="AT46" s="393">
        <f>IF(G46&gt;0,Prévisionnel!E13*G46/Copropriété!D67,Prévisionnel!E13*F46/Copropriété!D67)</f>
        <v>0</v>
      </c>
      <c r="AU46" s="393">
        <f>IF(I46&gt;0,Prévisionnel!E20*I46/Copropriété!E67,Prévisionnel!E20*H46/Copropriété!E67)</f>
        <v>0</v>
      </c>
      <c r="AV46" s="393">
        <f>IF(K46&gt;0,Prévisionnel!E25*K46/Copropriété!F67,Prévisionnel!E25*J46/Copropriété!F67)</f>
        <v>0</v>
      </c>
      <c r="AW46" s="393">
        <f>IF(M46&gt;0,Prévisionnel!E30*M46/Copropriété!G67,Prévisionnel!E30*L46/Copropriété!G67)</f>
        <v>0</v>
      </c>
      <c r="AX46" s="393">
        <f>IF(O46&gt;0,Prévisionnel!E35*O46/Copropriété!H67,Prévisionnel!E35*N46/Copropriété!H67)</f>
        <v>0</v>
      </c>
      <c r="AY46" s="393">
        <f>IF(Q46&gt;0,Prévisionnel!E38*Q46/Copropriété!I67,Prévisionnel!E38*P46/Copropriété!I67)</f>
        <v>0</v>
      </c>
      <c r="AZ46" s="391">
        <f>IF(S46&gt;0,Prévisionnel!E39*S46/Copropriété!J67,Prévisionnel!E39*R46/Copropriété!J67)</f>
        <v>0</v>
      </c>
      <c r="BA46" s="392">
        <f t="shared" si="4"/>
        <v>0</v>
      </c>
    </row>
    <row r="47" spans="2:53" ht="12.75">
      <c r="B47" s="386"/>
      <c r="C47" s="366"/>
      <c r="D47" s="366"/>
      <c r="E47" s="387"/>
      <c r="F47" s="386" t="str">
        <f>Copropriété!D4</f>
        <v>Générales</v>
      </c>
      <c r="G47" s="387"/>
      <c r="H47" s="386" t="str">
        <f>Copropriété!E4</f>
        <v>Escalier</v>
      </c>
      <c r="I47" s="387"/>
      <c r="J47" s="386" t="str">
        <f>Copropriété!F4</f>
        <v>Eau</v>
      </c>
      <c r="K47" s="387"/>
      <c r="L47" s="386" t="str">
        <f>Copropriété!G4</f>
        <v>Charge1</v>
      </c>
      <c r="M47" s="387"/>
      <c r="N47" s="386" t="str">
        <f>Copropriété!H4</f>
        <v>Charge2</v>
      </c>
      <c r="O47" s="387"/>
      <c r="P47" s="366" t="str">
        <f>Copropriété!I4</f>
        <v>Travaux</v>
      </c>
      <c r="Q47" s="366"/>
      <c r="R47" s="386" t="str">
        <f>Copropriété!J4</f>
        <v>Provision</v>
      </c>
      <c r="S47" s="387"/>
      <c r="T47" s="386" t="s">
        <v>131</v>
      </c>
      <c r="U47" s="387"/>
      <c r="V47" s="386"/>
      <c r="W47" s="387"/>
      <c r="X47" s="375" t="s">
        <v>439</v>
      </c>
      <c r="Y47" s="386" t="s">
        <v>140</v>
      </c>
      <c r="Z47" s="366"/>
      <c r="AA47" s="366"/>
      <c r="AB47" s="366"/>
      <c r="AC47" s="366"/>
      <c r="AD47" s="366"/>
      <c r="AE47" s="387"/>
      <c r="AF47" s="386" t="s">
        <v>238</v>
      </c>
      <c r="AG47" s="366"/>
      <c r="AH47" s="366"/>
      <c r="AI47" s="366"/>
      <c r="AJ47" s="366"/>
      <c r="AK47" s="387"/>
      <c r="AL47" s="386" t="s">
        <v>155</v>
      </c>
      <c r="AM47" s="366"/>
      <c r="AN47" s="366"/>
      <c r="AO47" s="366"/>
      <c r="AP47" s="387"/>
      <c r="AQ47" s="366"/>
      <c r="AR47" s="386" t="s">
        <v>178</v>
      </c>
      <c r="AS47" s="366"/>
      <c r="AT47" s="366"/>
      <c r="AU47" s="366"/>
      <c r="AV47" s="366"/>
      <c r="AW47" s="366"/>
      <c r="AX47" s="366"/>
      <c r="AY47" s="366"/>
      <c r="AZ47" s="387"/>
      <c r="BA47" s="375" t="s">
        <v>141</v>
      </c>
    </row>
    <row r="48" spans="1:53" ht="12.75">
      <c r="A48" s="156">
        <v>1</v>
      </c>
      <c r="B48" s="373">
        <v>2</v>
      </c>
      <c r="C48" s="397">
        <v>3</v>
      </c>
      <c r="D48" s="397">
        <v>4</v>
      </c>
      <c r="E48" s="398">
        <v>5</v>
      </c>
      <c r="F48" s="373">
        <v>6</v>
      </c>
      <c r="G48" s="398">
        <v>7</v>
      </c>
      <c r="H48" s="373">
        <v>8</v>
      </c>
      <c r="I48" s="398">
        <v>9</v>
      </c>
      <c r="J48" s="373">
        <v>10</v>
      </c>
      <c r="K48" s="398">
        <v>11</v>
      </c>
      <c r="L48" s="373">
        <v>12</v>
      </c>
      <c r="M48" s="398">
        <v>13</v>
      </c>
      <c r="N48" s="373">
        <v>14</v>
      </c>
      <c r="O48" s="398">
        <v>15</v>
      </c>
      <c r="P48" s="397">
        <v>16</v>
      </c>
      <c r="Q48" s="397">
        <v>17</v>
      </c>
      <c r="R48" s="373">
        <v>18</v>
      </c>
      <c r="S48" s="398">
        <v>19</v>
      </c>
      <c r="T48" s="373">
        <v>20</v>
      </c>
      <c r="U48" s="398">
        <v>21</v>
      </c>
      <c r="V48" s="373">
        <v>22</v>
      </c>
      <c r="W48" s="398">
        <v>23</v>
      </c>
      <c r="X48" s="376">
        <v>24</v>
      </c>
      <c r="Y48" s="373">
        <v>25</v>
      </c>
      <c r="Z48" s="397">
        <v>26</v>
      </c>
      <c r="AA48" s="397">
        <v>27</v>
      </c>
      <c r="AB48" s="397">
        <v>28</v>
      </c>
      <c r="AC48" s="397">
        <v>29</v>
      </c>
      <c r="AD48" s="397">
        <v>30</v>
      </c>
      <c r="AE48" s="398">
        <v>31</v>
      </c>
      <c r="AF48" s="373">
        <v>32</v>
      </c>
      <c r="AG48" s="397">
        <v>33</v>
      </c>
      <c r="AH48" s="397">
        <v>34</v>
      </c>
      <c r="AI48" s="397">
        <v>35</v>
      </c>
      <c r="AJ48" s="397">
        <v>36</v>
      </c>
      <c r="AK48" s="398">
        <v>37</v>
      </c>
      <c r="AL48" s="373">
        <v>38</v>
      </c>
      <c r="AM48" s="397">
        <v>39</v>
      </c>
      <c r="AN48" s="397">
        <v>40</v>
      </c>
      <c r="AO48" s="397">
        <v>41</v>
      </c>
      <c r="AP48" s="398">
        <v>42</v>
      </c>
      <c r="AQ48" s="397">
        <v>43</v>
      </c>
      <c r="AR48" s="373">
        <v>44</v>
      </c>
      <c r="AS48" s="397">
        <v>45</v>
      </c>
      <c r="AT48" s="397">
        <v>46</v>
      </c>
      <c r="AU48" s="397">
        <v>47</v>
      </c>
      <c r="AV48" s="397">
        <v>48</v>
      </c>
      <c r="AW48" s="397">
        <v>49</v>
      </c>
      <c r="AX48" s="397">
        <v>50</v>
      </c>
      <c r="AY48" s="397">
        <v>51</v>
      </c>
      <c r="AZ48" s="398">
        <v>52</v>
      </c>
      <c r="BA48" s="399">
        <v>53</v>
      </c>
    </row>
    <row r="49" spans="16:53" ht="12.75">
      <c r="P49" s="400"/>
      <c r="Q49" s="400"/>
      <c r="R49" s="156">
        <v>16</v>
      </c>
      <c r="S49" s="156">
        <v>17</v>
      </c>
      <c r="T49" s="156">
        <v>18</v>
      </c>
      <c r="U49" s="156">
        <v>19</v>
      </c>
      <c r="V49" s="156">
        <v>20</v>
      </c>
      <c r="W49" s="156">
        <v>21</v>
      </c>
      <c r="X49" s="156">
        <v>22</v>
      </c>
      <c r="Y49" s="156">
        <v>23</v>
      </c>
      <c r="Z49" s="156">
        <v>24</v>
      </c>
      <c r="AA49" s="156">
        <v>25</v>
      </c>
      <c r="AB49" s="156">
        <v>26</v>
      </c>
      <c r="AC49" s="156">
        <v>27</v>
      </c>
      <c r="AD49" s="400"/>
      <c r="AE49" s="156">
        <v>28</v>
      </c>
      <c r="AF49" s="156">
        <v>29</v>
      </c>
      <c r="AG49" s="156">
        <v>30</v>
      </c>
      <c r="AH49" s="156">
        <v>31</v>
      </c>
      <c r="AI49" s="156">
        <v>32</v>
      </c>
      <c r="AJ49" s="156">
        <v>33</v>
      </c>
      <c r="AK49" s="156">
        <v>34</v>
      </c>
      <c r="AL49" s="156">
        <v>35</v>
      </c>
      <c r="AM49" s="156">
        <v>36</v>
      </c>
      <c r="AN49" s="156">
        <v>37</v>
      </c>
      <c r="AO49" s="156">
        <v>38</v>
      </c>
      <c r="AP49" s="156">
        <v>39</v>
      </c>
      <c r="AQ49" s="156">
        <v>40</v>
      </c>
      <c r="AR49" s="156">
        <v>41</v>
      </c>
      <c r="AS49" s="156">
        <v>42</v>
      </c>
      <c r="AT49" s="156">
        <v>43</v>
      </c>
      <c r="AU49" s="156">
        <v>44</v>
      </c>
      <c r="AV49" s="156">
        <v>45</v>
      </c>
      <c r="AW49" s="156">
        <v>46</v>
      </c>
      <c r="AX49" s="156">
        <v>47</v>
      </c>
      <c r="AY49" s="400"/>
      <c r="AZ49" s="156">
        <v>48</v>
      </c>
      <c r="BA49" s="156">
        <v>49</v>
      </c>
    </row>
    <row r="51" spans="37:46" ht="12.75">
      <c r="AK51" s="370" t="s">
        <v>358</v>
      </c>
      <c r="AL51" s="384"/>
      <c r="AM51" s="384"/>
      <c r="AN51" s="384"/>
      <c r="AO51" s="385"/>
      <c r="AP51" s="401" t="str">
        <f>AL39</f>
        <v>0</v>
      </c>
      <c r="AR51" s="370" t="s">
        <v>335</v>
      </c>
      <c r="AS51" s="384"/>
      <c r="AT51" s="402">
        <f>0</f>
        <v>0</v>
      </c>
    </row>
    <row r="52" spans="37:46" ht="12.75">
      <c r="AK52" s="386" t="s">
        <v>379</v>
      </c>
      <c r="AL52" s="366"/>
      <c r="AM52" s="366"/>
      <c r="AN52" s="366"/>
      <c r="AO52" s="387"/>
      <c r="AP52" s="392" t="str">
        <f>AM39</f>
        <v>0</v>
      </c>
      <c r="AR52" s="386" t="s">
        <v>125</v>
      </c>
      <c r="AS52" s="366"/>
      <c r="AT52" s="391">
        <f>'Appels de Fonds'!G35</f>
        <v>0</v>
      </c>
    </row>
    <row r="53" spans="37:46" ht="12.75">
      <c r="AK53" s="386" t="s">
        <v>149</v>
      </c>
      <c r="AL53" s="366"/>
      <c r="AM53" s="366"/>
      <c r="AN53" s="366"/>
      <c r="AO53" s="387"/>
      <c r="AP53" s="392">
        <f>AN39</f>
        <v>0</v>
      </c>
      <c r="AR53" s="386" t="s">
        <v>88</v>
      </c>
      <c r="AS53" s="366"/>
      <c r="AT53" s="391">
        <f>0</f>
        <v>0</v>
      </c>
    </row>
    <row r="54" spans="1:46" ht="12.75">
      <c r="A54" s="378" t="s">
        <v>229</v>
      </c>
      <c r="B54" s="378"/>
      <c r="C54" s="378"/>
      <c r="D54" s="403">
        <f>-('Livre de compte'!AX17+'Livre de compte'!AX30+'Livre de compte'!AX43+'Livre de compte'!AX60+'Livre de compte'!AX73+'Livre de compte'!AX86+'Livre de compte'!AX103+'Livre de compte'!AX116+'Livre de compte'!AX129+'Livre de compte'!AX146+'Livre de compte'!AX159+'Livre de compte'!AX172)</f>
        <v>0</v>
      </c>
      <c r="AK54" s="386" t="s">
        <v>150</v>
      </c>
      <c r="AL54" s="366"/>
      <c r="AM54" s="366"/>
      <c r="AN54" s="366"/>
      <c r="AO54" s="387"/>
      <c r="AP54" s="392" t="str">
        <f>AO39</f>
        <v>0</v>
      </c>
      <c r="AR54" s="386" t="s">
        <v>126</v>
      </c>
      <c r="AS54" s="366"/>
      <c r="AT54" s="391">
        <f>'Appels de Fonds'!G35+'Appels de Fonds'!G36</f>
        <v>0</v>
      </c>
    </row>
    <row r="55" spans="1:46" ht="12.75">
      <c r="A55" s="378" t="s">
        <v>325</v>
      </c>
      <c r="B55" s="378"/>
      <c r="C55" s="378"/>
      <c r="D55" s="403">
        <f>-('Livre de compte'!AY17+'Livre de compte'!AY30+'Livre de compte'!AY43+'Livre de compte'!AY60+'Livre de compte'!AY73+'Livre de compte'!AY86+'Livre de compte'!AY103+'Livre de compte'!AY116+'Livre de compte'!AY129+'Livre de compte'!AY146+'Livre de compte'!AY159+'Livre de compte'!AY172)</f>
        <v>0</v>
      </c>
      <c r="AK55" s="386" t="s">
        <v>291</v>
      </c>
      <c r="AL55" s="366"/>
      <c r="AM55" s="366"/>
      <c r="AN55" s="366"/>
      <c r="AO55" s="387"/>
      <c r="AP55" s="392" t="str">
        <f>AP39</f>
        <v>0</v>
      </c>
      <c r="AR55" s="386" t="s">
        <v>127</v>
      </c>
      <c r="AS55" s="366"/>
      <c r="AT55" s="391">
        <f>'Appels de Fonds'!G35+'Appels de Fonds'!G36+'Appels de Fonds'!G37</f>
        <v>0</v>
      </c>
    </row>
    <row r="56" spans="37:46" ht="12.75">
      <c r="AK56" s="373" t="s">
        <v>345</v>
      </c>
      <c r="AL56" s="397"/>
      <c r="AM56" s="397"/>
      <c r="AN56" s="397"/>
      <c r="AO56" s="398"/>
      <c r="AP56" s="404">
        <f>AQ39</f>
        <v>0</v>
      </c>
      <c r="AR56" s="373" t="s">
        <v>89</v>
      </c>
      <c r="AS56" s="397"/>
      <c r="AT56" s="405">
        <f>'Appels de Fonds'!G35+'Appels de Fonds'!G36</f>
        <v>0</v>
      </c>
    </row>
    <row r="57" spans="1:42" ht="12.75">
      <c r="A57" s="378" t="s">
        <v>73</v>
      </c>
      <c r="B57" s="378" t="s">
        <v>442</v>
      </c>
      <c r="C57" s="378" t="s">
        <v>152</v>
      </c>
      <c r="D57" s="378" t="s">
        <v>319</v>
      </c>
      <c r="AK57" s="370" t="s">
        <v>299</v>
      </c>
      <c r="AL57" s="384"/>
      <c r="AM57" s="384"/>
      <c r="AN57" s="384"/>
      <c r="AO57" s="385"/>
      <c r="AP57" s="401" t="str">
        <f>AL40</f>
        <v>0</v>
      </c>
    </row>
    <row r="58" spans="1:42" ht="12.75">
      <c r="A58" s="378" t="str">
        <f aca="true" t="shared" si="5" ref="A58:A65">A39</f>
        <v>Lot n°1</v>
      </c>
      <c r="B58" s="403">
        <f>D54*F39/Copropriété!D10</f>
        <v>0</v>
      </c>
      <c r="C58" s="403">
        <f>D55*H39/Copropriété!E10</f>
        <v>0</v>
      </c>
      <c r="D58" s="403">
        <f aca="true" t="shared" si="6" ref="D58:D65">B58+C58</f>
        <v>0</v>
      </c>
      <c r="AK58" s="386" t="s">
        <v>256</v>
      </c>
      <c r="AL58" s="366"/>
      <c r="AM58" s="366"/>
      <c r="AN58" s="366"/>
      <c r="AO58" s="387"/>
      <c r="AP58" s="392" t="str">
        <f>AM40</f>
        <v>0</v>
      </c>
    </row>
    <row r="59" spans="1:45" ht="12.75">
      <c r="A59" s="378" t="str">
        <f t="shared" si="5"/>
        <v>Lot n°2</v>
      </c>
      <c r="B59" s="403">
        <f>D54*F40/Copropriété!D10</f>
        <v>0</v>
      </c>
      <c r="C59" s="403">
        <f>D55*H40/Copropriété!E10</f>
        <v>0</v>
      </c>
      <c r="D59" s="403">
        <f t="shared" si="6"/>
        <v>0</v>
      </c>
      <c r="AK59" s="386" t="s">
        <v>448</v>
      </c>
      <c r="AL59" s="366"/>
      <c r="AM59" s="366"/>
      <c r="AN59" s="366"/>
      <c r="AO59" s="387"/>
      <c r="AP59" s="392">
        <f>AN40</f>
        <v>0</v>
      </c>
      <c r="AS59" s="156" t="s">
        <v>261</v>
      </c>
    </row>
    <row r="60" spans="1:45" ht="12.75">
      <c r="A60" s="378" t="str">
        <f t="shared" si="5"/>
        <v>Lot n°3</v>
      </c>
      <c r="B60" s="403">
        <f>D54*F41/Copropriété!D10</f>
        <v>0</v>
      </c>
      <c r="C60" s="403">
        <f>D55*H41/Copropriété!E10</f>
        <v>0</v>
      </c>
      <c r="D60" s="403">
        <f t="shared" si="6"/>
        <v>0</v>
      </c>
      <c r="AK60" s="386" t="s">
        <v>301</v>
      </c>
      <c r="AL60" s="366"/>
      <c r="AM60" s="366"/>
      <c r="AN60" s="366"/>
      <c r="AO60" s="387"/>
      <c r="AP60" s="392" t="str">
        <f>AO40</f>
        <v>0</v>
      </c>
      <c r="AS60" s="406">
        <f>AY39/4</f>
        <v>0</v>
      </c>
    </row>
    <row r="61" spans="1:45" ht="12.75">
      <c r="A61" s="378" t="str">
        <f t="shared" si="5"/>
        <v>Lot n°4</v>
      </c>
      <c r="B61" s="403">
        <f>D54*F42/Copropriété!D10</f>
        <v>0</v>
      </c>
      <c r="C61" s="403">
        <f>D55*H42/Copropriété!E10</f>
        <v>0</v>
      </c>
      <c r="D61" s="403">
        <f t="shared" si="6"/>
        <v>0</v>
      </c>
      <c r="AK61" s="386" t="s">
        <v>423</v>
      </c>
      <c r="AL61" s="366"/>
      <c r="AM61" s="366"/>
      <c r="AN61" s="366"/>
      <c r="AO61" s="387"/>
      <c r="AP61" s="392" t="str">
        <f>AP40</f>
        <v>0</v>
      </c>
      <c r="AS61" s="406">
        <f>AY40/4</f>
        <v>0</v>
      </c>
    </row>
    <row r="62" spans="1:45" ht="12.75">
      <c r="A62" s="378" t="str">
        <f t="shared" si="5"/>
        <v>Lot n°5</v>
      </c>
      <c r="B62" s="403">
        <f>D54*F43/Copropriété!D10</f>
        <v>0</v>
      </c>
      <c r="C62" s="403">
        <f>D55*H43/Copropriété!E10</f>
        <v>0</v>
      </c>
      <c r="D62" s="403">
        <f t="shared" si="6"/>
        <v>0</v>
      </c>
      <c r="AK62" s="373" t="s">
        <v>347</v>
      </c>
      <c r="AL62" s="397"/>
      <c r="AM62" s="397"/>
      <c r="AN62" s="397"/>
      <c r="AO62" s="398"/>
      <c r="AP62" s="404">
        <f>AQ40</f>
        <v>0</v>
      </c>
      <c r="AS62" s="406">
        <f>AY41/4</f>
        <v>0</v>
      </c>
    </row>
    <row r="63" spans="1:45" ht="12.75">
      <c r="A63" s="378" t="str">
        <f t="shared" si="5"/>
        <v>Lot n°6</v>
      </c>
      <c r="B63" s="403">
        <f>D54*F44/Copropriété!D10</f>
        <v>0</v>
      </c>
      <c r="C63" s="403">
        <f>D55*H44/Copropriété!E10</f>
        <v>0</v>
      </c>
      <c r="D63" s="403">
        <f t="shared" si="6"/>
        <v>0</v>
      </c>
      <c r="AK63" s="386"/>
      <c r="AL63" s="366"/>
      <c r="AM63" s="366"/>
      <c r="AN63" s="366"/>
      <c r="AO63" s="366"/>
      <c r="AP63" s="392"/>
      <c r="AS63" s="406"/>
    </row>
    <row r="64" spans="1:45" ht="12.75">
      <c r="A64" s="378" t="str">
        <f t="shared" si="5"/>
        <v>Lot n°7</v>
      </c>
      <c r="B64" s="403">
        <f>D54*F45/Copropriété!D10</f>
        <v>0</v>
      </c>
      <c r="C64" s="403">
        <f>D55*H45/Copropriété!E10</f>
        <v>0</v>
      </c>
      <c r="D64" s="403">
        <f t="shared" si="6"/>
        <v>0</v>
      </c>
      <c r="AK64" s="386"/>
      <c r="AL64" s="366"/>
      <c r="AM64" s="366"/>
      <c r="AN64" s="366"/>
      <c r="AO64" s="366"/>
      <c r="AP64" s="392"/>
      <c r="AS64" s="406"/>
    </row>
    <row r="65" spans="1:45" ht="12.75">
      <c r="A65" s="378" t="str">
        <f t="shared" si="5"/>
        <v>Lot n°M</v>
      </c>
      <c r="B65" s="403">
        <f>D54*F46/Copropriété!D10</f>
        <v>0</v>
      </c>
      <c r="C65" s="403">
        <f>D55*H46/Copropriété!E10</f>
        <v>0</v>
      </c>
      <c r="D65" s="403">
        <f t="shared" si="6"/>
        <v>0</v>
      </c>
      <c r="AK65" s="491" t="s">
        <v>185</v>
      </c>
      <c r="AL65" s="492"/>
      <c r="AM65" s="492"/>
      <c r="AN65" s="492"/>
      <c r="AO65" s="384"/>
      <c r="AP65" s="401" t="str">
        <f>AL41</f>
        <v>0</v>
      </c>
      <c r="AS65" s="406">
        <f>AY42/4</f>
        <v>0</v>
      </c>
    </row>
    <row r="66" spans="37:45" ht="12.75">
      <c r="AK66" s="493" t="s">
        <v>263</v>
      </c>
      <c r="AL66" s="494"/>
      <c r="AM66" s="494"/>
      <c r="AN66" s="494"/>
      <c r="AO66" s="494"/>
      <c r="AP66" s="392" t="str">
        <f>AM41</f>
        <v>0</v>
      </c>
      <c r="AS66" s="406">
        <f>AY43/4</f>
        <v>0</v>
      </c>
    </row>
    <row r="67" spans="37:45" ht="12.75">
      <c r="AK67" s="493" t="s">
        <v>450</v>
      </c>
      <c r="AL67" s="494"/>
      <c r="AM67" s="494"/>
      <c r="AN67" s="494"/>
      <c r="AO67" s="366"/>
      <c r="AP67" s="392">
        <f>AN41</f>
        <v>0</v>
      </c>
      <c r="AS67" s="406">
        <f>AY46/4</f>
        <v>0</v>
      </c>
    </row>
    <row r="68" spans="37:42" ht="12.75">
      <c r="AK68" s="493" t="s">
        <v>447</v>
      </c>
      <c r="AL68" s="494"/>
      <c r="AM68" s="494"/>
      <c r="AN68" s="494"/>
      <c r="AO68" s="494"/>
      <c r="AP68" s="392" t="str">
        <f>AO41</f>
        <v>0</v>
      </c>
    </row>
    <row r="69" spans="37:42" ht="12.75">
      <c r="AK69" s="493" t="s">
        <v>194</v>
      </c>
      <c r="AL69" s="494"/>
      <c r="AM69" s="494"/>
      <c r="AN69" s="494"/>
      <c r="AO69" s="494"/>
      <c r="AP69" s="392" t="str">
        <f>AP41</f>
        <v>0</v>
      </c>
    </row>
    <row r="70" spans="37:42" ht="12.75">
      <c r="AK70" s="495" t="s">
        <v>219</v>
      </c>
      <c r="AL70" s="496"/>
      <c r="AM70" s="496"/>
      <c r="AN70" s="496"/>
      <c r="AO70" s="496"/>
      <c r="AP70" s="404">
        <f>AQ41</f>
        <v>0</v>
      </c>
    </row>
    <row r="71" spans="37:42" ht="12.75">
      <c r="AK71" s="491" t="s">
        <v>183</v>
      </c>
      <c r="AL71" s="492"/>
      <c r="AM71" s="492"/>
      <c r="AN71" s="492"/>
      <c r="AO71" s="384"/>
      <c r="AP71" s="401" t="str">
        <f>AL42</f>
        <v>0</v>
      </c>
    </row>
    <row r="72" spans="37:42" ht="12.75">
      <c r="AK72" s="493" t="s">
        <v>207</v>
      </c>
      <c r="AL72" s="494"/>
      <c r="AM72" s="494"/>
      <c r="AN72" s="494"/>
      <c r="AO72" s="494"/>
      <c r="AP72" s="392" t="str">
        <f>AM42</f>
        <v>0</v>
      </c>
    </row>
    <row r="73" spans="37:42" ht="12.75">
      <c r="AK73" s="493" t="s">
        <v>147</v>
      </c>
      <c r="AL73" s="494"/>
      <c r="AM73" s="494"/>
      <c r="AN73" s="494"/>
      <c r="AO73" s="366"/>
      <c r="AP73" s="392">
        <f>AN42</f>
        <v>0</v>
      </c>
    </row>
    <row r="74" spans="37:42" ht="12.75">
      <c r="AK74" s="493" t="s">
        <v>25</v>
      </c>
      <c r="AL74" s="494"/>
      <c r="AM74" s="494"/>
      <c r="AN74" s="494"/>
      <c r="AO74" s="494"/>
      <c r="AP74" s="392" t="str">
        <f>AO42</f>
        <v>0</v>
      </c>
    </row>
    <row r="75" spans="37:42" ht="12.75">
      <c r="AK75" s="493" t="s">
        <v>382</v>
      </c>
      <c r="AL75" s="494"/>
      <c r="AM75" s="494"/>
      <c r="AN75" s="494"/>
      <c r="AO75" s="494"/>
      <c r="AP75" s="392" t="str">
        <f>AP42</f>
        <v>0</v>
      </c>
    </row>
    <row r="76" spans="37:42" ht="12.75">
      <c r="AK76" s="495" t="s">
        <v>436</v>
      </c>
      <c r="AL76" s="496"/>
      <c r="AM76" s="496"/>
      <c r="AN76" s="496"/>
      <c r="AO76" s="496"/>
      <c r="AP76" s="404">
        <f>AQ42</f>
        <v>0</v>
      </c>
    </row>
    <row r="77" spans="37:42" ht="12.75">
      <c r="AK77" s="491" t="s">
        <v>366</v>
      </c>
      <c r="AL77" s="492"/>
      <c r="AM77" s="492"/>
      <c r="AN77" s="492"/>
      <c r="AO77" s="384"/>
      <c r="AP77" s="401" t="str">
        <f>AL43</f>
        <v>0</v>
      </c>
    </row>
    <row r="78" spans="37:42" ht="12.75">
      <c r="AK78" s="493" t="s">
        <v>200</v>
      </c>
      <c r="AL78" s="494"/>
      <c r="AM78" s="494"/>
      <c r="AN78" s="494"/>
      <c r="AO78" s="494"/>
      <c r="AP78" s="392" t="str">
        <f>AM43</f>
        <v>0</v>
      </c>
    </row>
    <row r="79" spans="37:42" ht="12.75">
      <c r="AK79" s="493" t="s">
        <v>274</v>
      </c>
      <c r="AL79" s="494"/>
      <c r="AM79" s="494"/>
      <c r="AN79" s="494"/>
      <c r="AO79" s="366"/>
      <c r="AP79" s="392">
        <f>AN43</f>
        <v>0</v>
      </c>
    </row>
    <row r="80" spans="37:42" ht="12.75">
      <c r="AK80" s="493" t="s">
        <v>35</v>
      </c>
      <c r="AL80" s="494"/>
      <c r="AM80" s="494"/>
      <c r="AN80" s="494"/>
      <c r="AO80" s="494"/>
      <c r="AP80" s="392" t="str">
        <f>AO43</f>
        <v>0</v>
      </c>
    </row>
    <row r="81" spans="37:42" ht="12.75">
      <c r="AK81" s="493" t="s">
        <v>286</v>
      </c>
      <c r="AL81" s="494"/>
      <c r="AM81" s="494"/>
      <c r="AN81" s="494"/>
      <c r="AO81" s="494"/>
      <c r="AP81" s="392" t="str">
        <f>AP43</f>
        <v>0</v>
      </c>
    </row>
    <row r="82" spans="37:42" ht="12.75">
      <c r="AK82" s="495" t="s">
        <v>142</v>
      </c>
      <c r="AL82" s="496"/>
      <c r="AM82" s="496"/>
      <c r="AN82" s="496"/>
      <c r="AO82" s="496"/>
      <c r="AP82" s="404">
        <f>AQ43</f>
        <v>0</v>
      </c>
    </row>
    <row r="83" spans="37:42" ht="12.75">
      <c r="AK83" s="491" t="s">
        <v>475</v>
      </c>
      <c r="AL83" s="492"/>
      <c r="AM83" s="492"/>
      <c r="AN83" s="492"/>
      <c r="AO83" s="384"/>
      <c r="AP83" s="401" t="str">
        <f>AL44</f>
        <v>0</v>
      </c>
    </row>
    <row r="84" spans="37:42" ht="12.75">
      <c r="AK84" s="493" t="s">
        <v>476</v>
      </c>
      <c r="AL84" s="494"/>
      <c r="AM84" s="494"/>
      <c r="AN84" s="494"/>
      <c r="AO84" s="494"/>
      <c r="AP84" s="401" t="str">
        <f>AM44</f>
        <v>0</v>
      </c>
    </row>
    <row r="85" spans="37:42" ht="12.75">
      <c r="AK85" s="493" t="s">
        <v>477</v>
      </c>
      <c r="AL85" s="494"/>
      <c r="AM85" s="494"/>
      <c r="AN85" s="494"/>
      <c r="AO85" s="366"/>
      <c r="AP85" s="401">
        <f>AN44</f>
        <v>0</v>
      </c>
    </row>
    <row r="86" spans="37:42" ht="12.75">
      <c r="AK86" s="493" t="s">
        <v>478</v>
      </c>
      <c r="AL86" s="494"/>
      <c r="AM86" s="494"/>
      <c r="AN86" s="494"/>
      <c r="AO86" s="494"/>
      <c r="AP86" s="401" t="str">
        <f>AO44</f>
        <v>0</v>
      </c>
    </row>
    <row r="87" spans="37:42" ht="12.75">
      <c r="AK87" s="493" t="s">
        <v>479</v>
      </c>
      <c r="AL87" s="494"/>
      <c r="AM87" s="494"/>
      <c r="AN87" s="494"/>
      <c r="AO87" s="494"/>
      <c r="AP87" s="401" t="str">
        <f>AP44</f>
        <v>0</v>
      </c>
    </row>
    <row r="88" spans="37:42" ht="12.75">
      <c r="AK88" s="495" t="s">
        <v>480</v>
      </c>
      <c r="AL88" s="496"/>
      <c r="AM88" s="496"/>
      <c r="AN88" s="496"/>
      <c r="AO88" s="496"/>
      <c r="AP88" s="401">
        <f>AQ44</f>
        <v>0</v>
      </c>
    </row>
    <row r="89" spans="37:42" ht="12.75">
      <c r="AK89" s="491" t="s">
        <v>481</v>
      </c>
      <c r="AL89" s="492"/>
      <c r="AM89" s="492"/>
      <c r="AN89" s="492"/>
      <c r="AO89" s="384"/>
      <c r="AP89" s="401" t="str">
        <f>AL45</f>
        <v>0</v>
      </c>
    </row>
    <row r="90" spans="37:42" ht="12.75">
      <c r="AK90" s="493" t="s">
        <v>482</v>
      </c>
      <c r="AL90" s="494"/>
      <c r="AM90" s="494"/>
      <c r="AN90" s="494"/>
      <c r="AO90" s="494"/>
      <c r="AP90" s="401" t="str">
        <f>AM45</f>
        <v>0</v>
      </c>
    </row>
    <row r="91" spans="37:42" ht="12.75">
      <c r="AK91" s="493" t="s">
        <v>483</v>
      </c>
      <c r="AL91" s="494"/>
      <c r="AM91" s="494"/>
      <c r="AN91" s="494"/>
      <c r="AO91" s="366"/>
      <c r="AP91" s="401">
        <f>AN45</f>
        <v>0</v>
      </c>
    </row>
    <row r="92" spans="37:42" ht="12.75">
      <c r="AK92" s="493" t="s">
        <v>484</v>
      </c>
      <c r="AL92" s="494"/>
      <c r="AM92" s="494"/>
      <c r="AN92" s="494"/>
      <c r="AO92" s="494"/>
      <c r="AP92" s="401" t="str">
        <f>AO45</f>
        <v>0</v>
      </c>
    </row>
    <row r="93" spans="37:42" ht="12.75">
      <c r="AK93" s="493" t="s">
        <v>485</v>
      </c>
      <c r="AL93" s="494"/>
      <c r="AM93" s="494"/>
      <c r="AN93" s="494"/>
      <c r="AO93" s="494"/>
      <c r="AP93" s="401" t="str">
        <f>AP45</f>
        <v>0</v>
      </c>
    </row>
    <row r="94" spans="37:42" ht="12.75">
      <c r="AK94" s="495" t="s">
        <v>486</v>
      </c>
      <c r="AL94" s="496"/>
      <c r="AM94" s="496"/>
      <c r="AN94" s="496"/>
      <c r="AO94" s="496"/>
      <c r="AP94" s="401">
        <f>AQ45</f>
        <v>0</v>
      </c>
    </row>
    <row r="95" spans="37:42" ht="12.75">
      <c r="AK95" s="491" t="s">
        <v>403</v>
      </c>
      <c r="AL95" s="492"/>
      <c r="AM95" s="492"/>
      <c r="AN95" s="492"/>
      <c r="AO95" s="384"/>
      <c r="AP95" s="401" t="str">
        <f>AL46</f>
        <v>0</v>
      </c>
    </row>
    <row r="96" spans="37:42" ht="12.75">
      <c r="AK96" s="493" t="s">
        <v>348</v>
      </c>
      <c r="AL96" s="494"/>
      <c r="AM96" s="494"/>
      <c r="AN96" s="494"/>
      <c r="AO96" s="494"/>
      <c r="AP96" s="392" t="str">
        <f>AM46</f>
        <v>0</v>
      </c>
    </row>
    <row r="97" spans="37:42" ht="12.75">
      <c r="AK97" s="493" t="s">
        <v>333</v>
      </c>
      <c r="AL97" s="494"/>
      <c r="AM97" s="494"/>
      <c r="AN97" s="494"/>
      <c r="AO97" s="366"/>
      <c r="AP97" s="392">
        <f>AN46</f>
        <v>0</v>
      </c>
    </row>
    <row r="98" spans="37:42" ht="12.75">
      <c r="AK98" s="493" t="s">
        <v>464</v>
      </c>
      <c r="AL98" s="494"/>
      <c r="AM98" s="494"/>
      <c r="AN98" s="494"/>
      <c r="AO98" s="494"/>
      <c r="AP98" s="392" t="str">
        <f>AO46</f>
        <v>0</v>
      </c>
    </row>
    <row r="99" spans="37:42" ht="12.75">
      <c r="AK99" s="493" t="s">
        <v>267</v>
      </c>
      <c r="AL99" s="494"/>
      <c r="AM99" s="494"/>
      <c r="AN99" s="494"/>
      <c r="AO99" s="494"/>
      <c r="AP99" s="392" t="str">
        <f>AP46</f>
        <v>0</v>
      </c>
    </row>
    <row r="100" spans="37:42" ht="12.75">
      <c r="AK100" s="495" t="s">
        <v>285</v>
      </c>
      <c r="AL100" s="496"/>
      <c r="AM100" s="496"/>
      <c r="AN100" s="496"/>
      <c r="AO100" s="496"/>
      <c r="AP100" s="404">
        <f>AQ46</f>
        <v>0</v>
      </c>
    </row>
  </sheetData>
  <sheetProtection/>
  <mergeCells count="36">
    <mergeCell ref="AK95:AN95"/>
    <mergeCell ref="AK96:AO96"/>
    <mergeCell ref="AK97:AN97"/>
    <mergeCell ref="AK98:AO98"/>
    <mergeCell ref="AK99:AO99"/>
    <mergeCell ref="AK100:AO100"/>
    <mergeCell ref="AK77:AN77"/>
    <mergeCell ref="AK78:AO78"/>
    <mergeCell ref="AK79:AN79"/>
    <mergeCell ref="AK80:AO80"/>
    <mergeCell ref="AK81:AO81"/>
    <mergeCell ref="AK82:AO82"/>
    <mergeCell ref="AK71:AN71"/>
    <mergeCell ref="AK72:AO72"/>
    <mergeCell ref="AK73:AN73"/>
    <mergeCell ref="AK74:AO74"/>
    <mergeCell ref="AK75:AO75"/>
    <mergeCell ref="AK76:AO76"/>
    <mergeCell ref="AK65:AN65"/>
    <mergeCell ref="AK66:AO66"/>
    <mergeCell ref="AK67:AN67"/>
    <mergeCell ref="AK68:AO68"/>
    <mergeCell ref="AK69:AO69"/>
    <mergeCell ref="AK70:AO70"/>
    <mergeCell ref="AK83:AN83"/>
    <mergeCell ref="AK84:AO84"/>
    <mergeCell ref="AK85:AN85"/>
    <mergeCell ref="AK86:AO86"/>
    <mergeCell ref="AK87:AO87"/>
    <mergeCell ref="AK88:AO88"/>
    <mergeCell ref="AK89:AN89"/>
    <mergeCell ref="AK90:AO90"/>
    <mergeCell ref="AK91:AN91"/>
    <mergeCell ref="AK92:AO92"/>
    <mergeCell ref="AK93:AO93"/>
    <mergeCell ref="AK94:AO94"/>
  </mergeCells>
  <printOptions/>
  <pageMargins left="0.7480314960629921" right="0.7480314960629921"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Auneau Nicolas</dc:creator>
  <cp:keywords/>
  <dc:description/>
  <cp:lastModifiedBy>proprietaire</cp:lastModifiedBy>
  <cp:lastPrinted>2016-01-25T18:12:59Z</cp:lastPrinted>
  <dcterms:created xsi:type="dcterms:W3CDTF">2003-01-03T17:53:27Z</dcterms:created>
  <dcterms:modified xsi:type="dcterms:W3CDTF">2016-01-25T18:26:23Z</dcterms:modified>
  <cp:category/>
  <cp:version/>
  <cp:contentType/>
  <cp:contentStatus/>
</cp:coreProperties>
</file>